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040" windowHeight="10560" tabRatio="937"/>
  </bookViews>
  <sheets>
    <sheet name="סכום נכסי הקרן" sheetId="1" r:id="rId1"/>
    <sheet name="מזומנים" sheetId="31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</externalReferences>
  <calcPr calcId="144525"/>
</workbook>
</file>

<file path=xl/calcChain.xml><?xml version="1.0" encoding="utf-8"?>
<calcChain xmlns="http://schemas.openxmlformats.org/spreadsheetml/2006/main">
  <c r="H30" i="17" l="1"/>
  <c r="D15" i="27"/>
  <c r="C11" i="1"/>
  <c r="Q205" i="5"/>
  <c r="Q209" i="5"/>
  <c r="Q217" i="5"/>
  <c r="Q228" i="5"/>
  <c r="Q234" i="5"/>
  <c r="Q244" i="5"/>
  <c r="Q298" i="5"/>
  <c r="Q297" i="5"/>
  <c r="Q296" i="5"/>
  <c r="Q295" i="5"/>
  <c r="Q324" i="5"/>
  <c r="Q345" i="5" l="1"/>
  <c r="Q323" i="5"/>
  <c r="Q308" i="5"/>
  <c r="Q329" i="5"/>
  <c r="Q333" i="5"/>
  <c r="Q233" i="5"/>
  <c r="Q278" i="5"/>
  <c r="Q275" i="5"/>
  <c r="Q262" i="5"/>
  <c r="Q258" i="5"/>
  <c r="Q232" i="5"/>
  <c r="Q213" i="5"/>
  <c r="Q197" i="5"/>
  <c r="Q165" i="5"/>
  <c r="Q163" i="5"/>
  <c r="Q161" i="5"/>
  <c r="Q159" i="5"/>
  <c r="Q146" i="5"/>
  <c r="Q145" i="5"/>
  <c r="Q144" i="5"/>
  <c r="Q143" i="5"/>
  <c r="Q134" i="5"/>
  <c r="Q142" i="5"/>
  <c r="Q131" i="5"/>
  <c r="Q115" i="5"/>
  <c r="Q103" i="5"/>
  <c r="Q92" i="5"/>
  <c r="Q74" i="5"/>
  <c r="Q67" i="5"/>
  <c r="Q16" i="5"/>
  <c r="C33" i="1" l="1"/>
  <c r="J141" i="7" l="1"/>
  <c r="J138" i="7"/>
  <c r="J125" i="7"/>
  <c r="J129" i="7"/>
  <c r="J132" i="7"/>
  <c r="J136" i="7"/>
  <c r="J140" i="7"/>
  <c r="J143" i="7"/>
  <c r="N67" i="3"/>
  <c r="N69" i="3"/>
  <c r="M15" i="23"/>
  <c r="M24" i="22"/>
  <c r="N16" i="22"/>
  <c r="N25" i="22"/>
  <c r="N26" i="22"/>
  <c r="N29" i="22"/>
  <c r="N30" i="22"/>
  <c r="N33" i="22"/>
  <c r="N34" i="22"/>
  <c r="N37" i="22"/>
  <c r="N24" i="22"/>
  <c r="K10" i="22"/>
  <c r="K12" i="22"/>
  <c r="M23" i="22"/>
  <c r="M12" i="22" s="1"/>
  <c r="M10" i="22" s="1"/>
  <c r="N41" i="22" s="1"/>
  <c r="K23" i="22"/>
  <c r="M18" i="22"/>
  <c r="M39" i="22"/>
  <c r="K39" i="22"/>
  <c r="M14" i="22"/>
  <c r="N15" i="22" l="1"/>
  <c r="N14" i="22" s="1"/>
  <c r="N36" i="22"/>
  <c r="N32" i="22"/>
  <c r="N28" i="22"/>
  <c r="N40" i="22"/>
  <c r="N19" i="22"/>
  <c r="N35" i="22"/>
  <c r="N31" i="22"/>
  <c r="N27" i="22"/>
  <c r="N23" i="22" s="1"/>
  <c r="N12" i="22" s="1"/>
  <c r="G15" i="24" l="1"/>
  <c r="H51" i="17"/>
  <c r="H18" i="17"/>
  <c r="P11" i="12"/>
  <c r="P13" i="12"/>
  <c r="N13" i="12"/>
  <c r="M13" i="12"/>
  <c r="L13" i="12"/>
  <c r="J17" i="16" l="1"/>
  <c r="I20" i="11"/>
  <c r="K11" i="11"/>
  <c r="I19" i="11"/>
  <c r="I17" i="11" s="1"/>
  <c r="I11" i="11" s="1"/>
  <c r="P33" i="15"/>
  <c r="I34" i="20"/>
  <c r="L27" i="8" l="1"/>
  <c r="L24" i="8"/>
  <c r="L22" i="8"/>
  <c r="L21" i="8"/>
  <c r="K192" i="6"/>
  <c r="K193" i="6"/>
  <c r="K187" i="6"/>
  <c r="K195" i="6"/>
  <c r="K201" i="6"/>
  <c r="K202" i="6"/>
  <c r="I193" i="6"/>
  <c r="I15" i="26"/>
  <c r="J27" i="31" l="1"/>
  <c r="J20" i="31"/>
  <c r="J16" i="31"/>
  <c r="J30" i="31" l="1"/>
  <c r="J26" i="31"/>
  <c r="J37" i="31"/>
  <c r="J17" i="31"/>
  <c r="J31" i="31"/>
  <c r="J29" i="31" l="1"/>
  <c r="J36" i="31"/>
  <c r="J24" i="31"/>
  <c r="J15" i="31"/>
  <c r="L63" i="31"/>
  <c r="J58" i="31"/>
  <c r="J45" i="31"/>
  <c r="J40" i="31"/>
  <c r="J23" i="31"/>
  <c r="C32" i="1"/>
  <c r="C30" i="1"/>
  <c r="C29" i="1"/>
  <c r="C25" i="1"/>
  <c r="C24" i="1"/>
  <c r="C21" i="1"/>
  <c r="C20" i="1"/>
  <c r="C19" i="1"/>
  <c r="C14" i="1"/>
  <c r="J14" i="26"/>
  <c r="J12" i="26" s="1"/>
  <c r="J10" i="26" s="1"/>
  <c r="I14" i="26"/>
  <c r="I12" i="26" s="1"/>
  <c r="I10" i="26" s="1"/>
  <c r="C37" i="1" s="1"/>
  <c r="H10" i="24"/>
  <c r="G10" i="24"/>
  <c r="C35" i="1" s="1"/>
  <c r="H15" i="24"/>
  <c r="H12" i="24"/>
  <c r="G12" i="24"/>
  <c r="H14" i="24"/>
  <c r="G14" i="24"/>
  <c r="N10" i="23"/>
  <c r="K10" i="23"/>
  <c r="N12" i="23"/>
  <c r="K12" i="23"/>
  <c r="M14" i="23"/>
  <c r="M12" i="23" s="1"/>
  <c r="M10" i="23" s="1"/>
  <c r="C34" i="1" s="1"/>
  <c r="N14" i="23"/>
  <c r="K14" i="23"/>
  <c r="P13" i="21"/>
  <c r="N13" i="21"/>
  <c r="L13" i="21"/>
  <c r="P16" i="21"/>
  <c r="N16" i="21"/>
  <c r="L16" i="21"/>
  <c r="J11" i="20"/>
  <c r="I11" i="20"/>
  <c r="C31" i="1" s="1"/>
  <c r="G11" i="20"/>
  <c r="J13" i="20"/>
  <c r="I13" i="20"/>
  <c r="G13" i="20"/>
  <c r="J25" i="20"/>
  <c r="J17" i="20" s="1"/>
  <c r="I17" i="20"/>
  <c r="G17" i="20"/>
  <c r="J16" i="17"/>
  <c r="J15" i="17" s="1"/>
  <c r="J13" i="17" s="1"/>
  <c r="J11" i="17" s="1"/>
  <c r="G11" i="17"/>
  <c r="F11" i="17"/>
  <c r="F13" i="17"/>
  <c r="G44" i="17"/>
  <c r="H44" i="17"/>
  <c r="J44" i="17"/>
  <c r="F44" i="17"/>
  <c r="H53" i="17"/>
  <c r="J53" i="17"/>
  <c r="F53" i="17"/>
  <c r="H49" i="17"/>
  <c r="J49" i="17"/>
  <c r="F49" i="17"/>
  <c r="J46" i="17"/>
  <c r="H46" i="17"/>
  <c r="F46" i="17"/>
  <c r="G29" i="17"/>
  <c r="H29" i="17"/>
  <c r="H13" i="17" s="1"/>
  <c r="J29" i="17"/>
  <c r="F29" i="17"/>
  <c r="H25" i="17"/>
  <c r="J25" i="17"/>
  <c r="F25" i="17"/>
  <c r="H15" i="17"/>
  <c r="F15" i="17"/>
  <c r="L11" i="16"/>
  <c r="H11" i="16"/>
  <c r="L13" i="16"/>
  <c r="J13" i="16"/>
  <c r="J11" i="16" s="1"/>
  <c r="C27" i="1" s="1"/>
  <c r="H13" i="16"/>
  <c r="J15" i="16"/>
  <c r="L15" i="16"/>
  <c r="H15" i="16"/>
  <c r="R11" i="15"/>
  <c r="N11" i="15"/>
  <c r="R18" i="15"/>
  <c r="O13" i="15"/>
  <c r="N13" i="15"/>
  <c r="P70" i="15"/>
  <c r="R70" i="15"/>
  <c r="N70" i="15"/>
  <c r="P65" i="15"/>
  <c r="R65" i="15"/>
  <c r="N65" i="15"/>
  <c r="R15" i="15"/>
  <c r="R13" i="15" s="1"/>
  <c r="P15" i="15"/>
  <c r="P13" i="15" s="1"/>
  <c r="P11" i="15" s="1"/>
  <c r="C26" i="1" s="1"/>
  <c r="N15" i="15"/>
  <c r="H11" i="17" l="1"/>
  <c r="C28" i="1" s="1"/>
  <c r="C23" i="1" s="1"/>
  <c r="J14" i="31"/>
  <c r="J12" i="31" s="1"/>
  <c r="J10" i="31" s="1"/>
  <c r="J56" i="31"/>
  <c r="M11" i="12"/>
  <c r="N11" i="12"/>
  <c r="C22" i="1" s="1"/>
  <c r="L11" i="12"/>
  <c r="G19" i="11"/>
  <c r="G11" i="11"/>
  <c r="K13" i="10"/>
  <c r="I11" i="10"/>
  <c r="K11" i="10"/>
  <c r="G11" i="10"/>
  <c r="K15" i="10"/>
  <c r="I15" i="10"/>
  <c r="K11" i="9"/>
  <c r="I11" i="9"/>
  <c r="G11" i="9"/>
  <c r="K13" i="9"/>
  <c r="I13" i="9"/>
  <c r="G13" i="9"/>
  <c r="I15" i="9"/>
  <c r="K15" i="9"/>
  <c r="G15" i="9"/>
  <c r="N12" i="8"/>
  <c r="J12" i="8"/>
  <c r="N18" i="8"/>
  <c r="J18" i="8"/>
  <c r="N22" i="8"/>
  <c r="N20" i="8"/>
  <c r="L20" i="8"/>
  <c r="L18" i="8" s="1"/>
  <c r="L12" i="8" s="1"/>
  <c r="C18" i="1" s="1"/>
  <c r="J20" i="8"/>
  <c r="L16" i="7"/>
  <c r="L15" i="7" s="1"/>
  <c r="I11" i="7"/>
  <c r="I158" i="7"/>
  <c r="J158" i="7"/>
  <c r="L158" i="7"/>
  <c r="H158" i="7"/>
  <c r="H148" i="7"/>
  <c r="J148" i="7"/>
  <c r="L148" i="7"/>
  <c r="I99" i="7"/>
  <c r="J99" i="7"/>
  <c r="J97" i="7" s="1"/>
  <c r="L99" i="7"/>
  <c r="H99" i="7"/>
  <c r="L97" i="7"/>
  <c r="J91" i="7"/>
  <c r="L91" i="7"/>
  <c r="H91" i="7"/>
  <c r="J87" i="7"/>
  <c r="L87" i="7"/>
  <c r="H87" i="7"/>
  <c r="I73" i="7"/>
  <c r="J73" i="7"/>
  <c r="L73" i="7"/>
  <c r="H73" i="7"/>
  <c r="J33" i="7"/>
  <c r="L33" i="7"/>
  <c r="H33" i="7"/>
  <c r="J15" i="7"/>
  <c r="H15" i="7"/>
  <c r="M17" i="6"/>
  <c r="J149" i="6"/>
  <c r="J11" i="6" s="1"/>
  <c r="K164" i="6"/>
  <c r="M164" i="6"/>
  <c r="I164" i="6"/>
  <c r="K151" i="6"/>
  <c r="M151" i="6"/>
  <c r="I151" i="6"/>
  <c r="J96" i="6"/>
  <c r="K96" i="6"/>
  <c r="M96" i="6"/>
  <c r="I96" i="6"/>
  <c r="I42" i="6"/>
  <c r="K42" i="6"/>
  <c r="M42" i="6"/>
  <c r="K15" i="6"/>
  <c r="K13" i="6" s="1"/>
  <c r="M15" i="6"/>
  <c r="I15" i="6"/>
  <c r="S19" i="5"/>
  <c r="S15" i="5"/>
  <c r="P302" i="5"/>
  <c r="Q302" i="5"/>
  <c r="S302" i="5"/>
  <c r="T302" i="5"/>
  <c r="O302" i="5"/>
  <c r="P294" i="5"/>
  <c r="Q294" i="5"/>
  <c r="S294" i="5"/>
  <c r="S292" i="5" s="1"/>
  <c r="O294" i="5"/>
  <c r="S284" i="5"/>
  <c r="Q284" i="5"/>
  <c r="O284" i="5"/>
  <c r="P192" i="5"/>
  <c r="Q192" i="5"/>
  <c r="S192" i="5"/>
  <c r="O192" i="5"/>
  <c r="Q15" i="5"/>
  <c r="O15" i="5"/>
  <c r="L11" i="3"/>
  <c r="P16" i="3"/>
  <c r="N13" i="3"/>
  <c r="L13" i="3"/>
  <c r="M56" i="3"/>
  <c r="O56" i="3"/>
  <c r="P56" i="3"/>
  <c r="L56" i="3"/>
  <c r="M63" i="3"/>
  <c r="N63" i="3"/>
  <c r="N56" i="3" s="1"/>
  <c r="N11" i="3" s="1"/>
  <c r="C13" i="1" s="1"/>
  <c r="P63" i="3"/>
  <c r="L63" i="3"/>
  <c r="P58" i="3"/>
  <c r="M58" i="3"/>
  <c r="N58" i="3"/>
  <c r="L58" i="3"/>
  <c r="Q292" i="5" l="1"/>
  <c r="Q13" i="5"/>
  <c r="O292" i="5"/>
  <c r="O13" i="5"/>
  <c r="H13" i="7"/>
  <c r="J13" i="7"/>
  <c r="J11" i="7" s="1"/>
  <c r="C17" i="1" s="1"/>
  <c r="L13" i="7"/>
  <c r="L11" i="7" s="1"/>
  <c r="M13" i="6"/>
  <c r="M11" i="6" s="1"/>
  <c r="M149" i="6"/>
  <c r="I13" i="6"/>
  <c r="I149" i="6"/>
  <c r="I11" i="6" s="1"/>
  <c r="K149" i="6"/>
  <c r="K11" i="6"/>
  <c r="C16" i="1" s="1"/>
  <c r="S13" i="5"/>
  <c r="S11" i="5" s="1"/>
  <c r="K15" i="31"/>
  <c r="K17" i="31"/>
  <c r="K20" i="31"/>
  <c r="K18" i="31"/>
  <c r="K16" i="31"/>
  <c r="K19" i="31"/>
  <c r="K61" i="31"/>
  <c r="K59" i="31"/>
  <c r="K48" i="31"/>
  <c r="K46" i="31"/>
  <c r="K27" i="31"/>
  <c r="K24" i="31"/>
  <c r="K60" i="31"/>
  <c r="K47" i="31"/>
  <c r="K36" i="31"/>
  <c r="K34" i="31"/>
  <c r="K30" i="31"/>
  <c r="K42" i="31"/>
  <c r="K37" i="31"/>
  <c r="K35" i="31"/>
  <c r="K33" i="31"/>
  <c r="K31" i="31"/>
  <c r="K41" i="31"/>
  <c r="K32" i="31"/>
  <c r="K29" i="31"/>
  <c r="K40" i="31"/>
  <c r="K28" i="31"/>
  <c r="K58" i="31"/>
  <c r="K56" i="31" s="1"/>
  <c r="K25" i="31"/>
  <c r="K26" i="31"/>
  <c r="H97" i="7"/>
  <c r="N28" i="3"/>
  <c r="P28" i="3"/>
  <c r="L28" i="3"/>
  <c r="L15" i="3"/>
  <c r="N15" i="3"/>
  <c r="P15" i="3"/>
  <c r="P13" i="3" s="1"/>
  <c r="P11" i="3" s="1"/>
  <c r="Q11" i="5" l="1"/>
  <c r="C15" i="1" s="1"/>
  <c r="C12" i="1" s="1"/>
  <c r="O11" i="5"/>
  <c r="H11" i="7"/>
  <c r="K45" i="31"/>
  <c r="K14" i="31"/>
  <c r="K23" i="31"/>
  <c r="K12" i="31" l="1"/>
  <c r="K10" i="31" s="1"/>
  <c r="D14" i="27" l="1"/>
  <c r="D23" i="27" l="1"/>
  <c r="D24" i="27"/>
  <c r="D22" i="27"/>
  <c r="D17" i="27"/>
  <c r="D20" i="27"/>
  <c r="D16" i="27"/>
  <c r="D27" i="27"/>
  <c r="D18" i="27"/>
  <c r="D19" i="27"/>
  <c r="D13" i="27"/>
  <c r="D26" i="27"/>
  <c r="D21" i="27"/>
  <c r="D25" i="27"/>
  <c r="D30" i="27" l="1"/>
  <c r="D29" i="27"/>
  <c r="D11" i="27"/>
  <c r="D10" i="27" s="1"/>
  <c r="C43" i="1" s="1"/>
  <c r="M89" i="7" s="1"/>
  <c r="C42" i="1" l="1"/>
  <c r="D13" i="1" l="1"/>
  <c r="D17" i="1"/>
  <c r="D21" i="1"/>
  <c r="D25" i="1"/>
  <c r="D29" i="1"/>
  <c r="D33" i="1"/>
  <c r="D37" i="1"/>
  <c r="D14" i="1"/>
  <c r="D18" i="1"/>
  <c r="D22" i="1"/>
  <c r="D26" i="1"/>
  <c r="D30" i="1"/>
  <c r="D34" i="1"/>
  <c r="D11" i="1"/>
  <c r="D15" i="1"/>
  <c r="D19" i="1"/>
  <c r="D27" i="1"/>
  <c r="D31" i="1"/>
  <c r="D35" i="1"/>
  <c r="D12" i="1"/>
  <c r="D16" i="1"/>
  <c r="D20" i="1"/>
  <c r="D24" i="1"/>
  <c r="D32" i="1"/>
  <c r="D36" i="1"/>
  <c r="D23" i="1"/>
  <c r="D28" i="1"/>
  <c r="Q44" i="3"/>
  <c r="T139" i="5"/>
  <c r="T79" i="5"/>
  <c r="T219" i="5"/>
  <c r="O35" i="22"/>
  <c r="T123" i="5"/>
  <c r="T236" i="5"/>
  <c r="O15" i="22"/>
  <c r="N112" i="6"/>
  <c r="T138" i="5"/>
  <c r="N86" i="6"/>
  <c r="Q68" i="3"/>
  <c r="T114" i="5"/>
  <c r="M43" i="7"/>
  <c r="T92" i="5"/>
  <c r="M146" i="7"/>
  <c r="M78" i="7"/>
  <c r="T137" i="5"/>
  <c r="Q36" i="3"/>
  <c r="T148" i="5"/>
  <c r="N44" i="6"/>
  <c r="T264" i="5"/>
  <c r="T81" i="5"/>
  <c r="Q66" i="3"/>
  <c r="T174" i="5"/>
  <c r="M144" i="7"/>
  <c r="N29" i="6"/>
  <c r="O28" i="22"/>
  <c r="N167" i="6"/>
  <c r="T59" i="5"/>
  <c r="M104" i="7"/>
  <c r="N68" i="6"/>
  <c r="M151" i="7"/>
  <c r="N135" i="6"/>
  <c r="T98" i="5"/>
  <c r="T194" i="5"/>
  <c r="N90" i="6"/>
  <c r="K31" i="17"/>
  <c r="T196" i="5"/>
  <c r="T107" i="5"/>
  <c r="N140" i="6"/>
  <c r="T274" i="5"/>
  <c r="T134" i="5"/>
  <c r="M131" i="7"/>
  <c r="T51" i="5"/>
  <c r="T159" i="5"/>
  <c r="T244" i="5"/>
  <c r="T287" i="5"/>
  <c r="M71" i="7"/>
  <c r="T243" i="5"/>
  <c r="N79" i="6"/>
  <c r="T110" i="5"/>
  <c r="T167" i="5"/>
  <c r="O30" i="8"/>
  <c r="N53" i="6"/>
  <c r="M28" i="7"/>
  <c r="M103" i="7"/>
  <c r="T279" i="5"/>
  <c r="S58" i="15"/>
  <c r="T164" i="5"/>
  <c r="T286" i="5"/>
  <c r="M116" i="7"/>
  <c r="T198" i="5"/>
  <c r="O22" i="8"/>
  <c r="T106" i="5"/>
  <c r="N118" i="6"/>
  <c r="M61" i="7"/>
  <c r="M110" i="7"/>
  <c r="M107" i="7"/>
  <c r="T178" i="5"/>
  <c r="N76" i="6"/>
  <c r="M39" i="7"/>
  <c r="N187" i="6"/>
  <c r="T237" i="5"/>
  <c r="T83" i="5"/>
  <c r="N70" i="6"/>
  <c r="M136" i="7"/>
  <c r="O19" i="22"/>
  <c r="T74" i="5"/>
  <c r="M128" i="7"/>
  <c r="T218" i="5"/>
  <c r="T104" i="5"/>
  <c r="T247" i="5"/>
  <c r="N131" i="6"/>
  <c r="M62" i="7"/>
  <c r="T156" i="5"/>
  <c r="T108" i="5"/>
  <c r="T17" i="5"/>
  <c r="M25" i="7"/>
  <c r="T206" i="5"/>
  <c r="Q52" i="3"/>
  <c r="T147" i="5"/>
  <c r="T275" i="5"/>
  <c r="T246" i="5"/>
  <c r="T268" i="5"/>
  <c r="O32" i="22"/>
  <c r="T25" i="5"/>
  <c r="Q18" i="3"/>
  <c r="N56" i="6"/>
  <c r="M65" i="7"/>
  <c r="T203" i="5"/>
  <c r="N77" i="6"/>
  <c r="T102" i="5"/>
  <c r="T62" i="5"/>
  <c r="S62" i="15"/>
  <c r="K35" i="17"/>
  <c r="Q20" i="3"/>
  <c r="N92" i="6"/>
  <c r="N27" i="6"/>
  <c r="T154" i="5"/>
  <c r="T163" i="5"/>
  <c r="T211" i="5"/>
  <c r="T245" i="5"/>
  <c r="T109" i="5"/>
  <c r="T130" i="5"/>
  <c r="N156" i="6"/>
  <c r="T228" i="5"/>
  <c r="T229" i="5"/>
  <c r="N80" i="6"/>
  <c r="T263" i="5"/>
  <c r="T33" i="5"/>
  <c r="N126" i="6"/>
  <c r="O30" i="22"/>
  <c r="M41" i="7"/>
  <c r="T177" i="5"/>
  <c r="O27" i="22"/>
  <c r="T29" i="5"/>
  <c r="T97" i="5"/>
  <c r="N103" i="6"/>
  <c r="T160" i="5"/>
  <c r="N116" i="6"/>
  <c r="T181" i="5"/>
  <c r="O20" i="23"/>
  <c r="N188" i="6"/>
  <c r="N62" i="6"/>
  <c r="S72" i="15"/>
  <c r="T19" i="5"/>
  <c r="N36" i="6"/>
  <c r="M24" i="7"/>
  <c r="O36" i="22"/>
  <c r="N124" i="6"/>
  <c r="T78" i="5"/>
  <c r="Q26" i="3"/>
  <c r="N184" i="6"/>
  <c r="T23" i="5"/>
  <c r="N139" i="6"/>
  <c r="M142" i="7"/>
  <c r="S30" i="15"/>
  <c r="T281" i="5"/>
  <c r="T119" i="5"/>
  <c r="N31" i="6"/>
  <c r="N120" i="6"/>
  <c r="L19" i="10"/>
  <c r="T36" i="5"/>
  <c r="Q60" i="3"/>
  <c r="T224" i="5"/>
  <c r="N99" i="6"/>
  <c r="T300" i="5"/>
  <c r="T184" i="5"/>
  <c r="Q61" i="3"/>
  <c r="N74" i="6"/>
  <c r="O25" i="22"/>
  <c r="T182" i="5"/>
  <c r="N78" i="6"/>
  <c r="T132" i="5"/>
  <c r="Q48" i="3"/>
  <c r="N172" i="6"/>
  <c r="S42" i="15"/>
  <c r="M57" i="7"/>
  <c r="O37" i="22"/>
  <c r="T265" i="5"/>
  <c r="T31" i="5"/>
  <c r="N98" i="6"/>
  <c r="T112" i="5"/>
  <c r="T157" i="5"/>
  <c r="T155" i="5"/>
  <c r="T20" i="5"/>
  <c r="Q45" i="3"/>
  <c r="T101" i="5"/>
  <c r="N110" i="6"/>
  <c r="T202" i="5"/>
  <c r="T173" i="5"/>
  <c r="T73" i="5"/>
  <c r="M106" i="7"/>
  <c r="N64" i="6"/>
  <c r="M123" i="7"/>
  <c r="O31" i="22"/>
  <c r="Q46" i="3"/>
  <c r="Q24" i="3"/>
  <c r="M47" i="7"/>
  <c r="N26" i="6"/>
  <c r="T158" i="5"/>
  <c r="T271" i="5"/>
  <c r="O34" i="22"/>
  <c r="T49" i="5"/>
  <c r="N207" i="6"/>
  <c r="N171" i="6"/>
  <c r="T169" i="5"/>
  <c r="T27" i="5"/>
  <c r="N117" i="6"/>
  <c r="N123" i="6"/>
  <c r="T233" i="5"/>
  <c r="L18" i="9"/>
  <c r="T54" i="5"/>
  <c r="T45" i="5"/>
  <c r="T87" i="5"/>
  <c r="T200" i="5"/>
  <c r="Q30" i="3"/>
  <c r="T64" i="5"/>
  <c r="T53" i="5"/>
  <c r="T55" i="5"/>
  <c r="T180" i="5"/>
  <c r="T162" i="5"/>
  <c r="N176" i="6"/>
  <c r="T90" i="5"/>
  <c r="T121" i="5"/>
  <c r="T238" i="5"/>
  <c r="T269" i="5"/>
  <c r="T140" i="5"/>
  <c r="T204" i="5"/>
  <c r="T261" i="5"/>
  <c r="T57" i="5"/>
  <c r="K39" i="17"/>
  <c r="N142" i="6"/>
  <c r="T95" i="5"/>
  <c r="T126" i="5"/>
  <c r="T172" i="5"/>
  <c r="T111" i="5"/>
  <c r="M84" i="7"/>
  <c r="T127" i="5"/>
  <c r="N48" i="6"/>
  <c r="O29" i="8"/>
  <c r="T96" i="5"/>
  <c r="T82" i="5"/>
  <c r="N178" i="6"/>
  <c r="T298" i="5"/>
  <c r="N51" i="6"/>
  <c r="T116" i="5"/>
  <c r="T276" i="5"/>
  <c r="T44" i="5"/>
  <c r="T251" i="5"/>
  <c r="N49" i="6"/>
  <c r="N136" i="6"/>
  <c r="T89" i="5"/>
  <c r="T185" i="5"/>
  <c r="T86" i="5"/>
  <c r="T252" i="5"/>
  <c r="Q34" i="3"/>
  <c r="T179" i="5"/>
  <c r="O26" i="8"/>
  <c r="T42" i="5"/>
  <c r="M29" i="7"/>
  <c r="N114" i="6"/>
  <c r="O23" i="8"/>
  <c r="Q38" i="3"/>
  <c r="N94" i="6"/>
  <c r="M67" i="7"/>
  <c r="K27" i="17"/>
  <c r="N175" i="6"/>
  <c r="T38" i="5"/>
  <c r="T143" i="5"/>
  <c r="O29" i="22"/>
  <c r="M132" i="7"/>
  <c r="T84" i="5"/>
  <c r="K17" i="17"/>
  <c r="Q69" i="3"/>
  <c r="Q50" i="3"/>
  <c r="N209" i="6"/>
  <c r="M46" i="7"/>
  <c r="N82" i="6"/>
  <c r="N160" i="6"/>
  <c r="T133" i="5"/>
  <c r="T117" i="5"/>
  <c r="T176" i="5"/>
  <c r="M143" i="7"/>
  <c r="O26" i="22"/>
  <c r="T37" i="5"/>
  <c r="T129" i="5"/>
  <c r="T122" i="5"/>
  <c r="Q17" i="3"/>
  <c r="T26" i="5"/>
  <c r="S50" i="15"/>
  <c r="Q41" i="3"/>
  <c r="T262" i="5"/>
  <c r="N52" i="6"/>
  <c r="N69" i="6"/>
  <c r="N72" i="6"/>
  <c r="N128" i="6"/>
  <c r="T47" i="5"/>
  <c r="T188" i="5"/>
  <c r="N19" i="6"/>
  <c r="T28" i="5"/>
  <c r="T190" i="5"/>
  <c r="T41" i="5"/>
  <c r="T234" i="5"/>
  <c r="T141" i="5"/>
  <c r="T70" i="5"/>
  <c r="M133" i="7"/>
  <c r="O33" i="22"/>
  <c r="T94" i="5"/>
  <c r="Q40" i="3"/>
  <c r="M108" i="7"/>
  <c r="T282" i="5"/>
  <c r="N104" i="6"/>
  <c r="T76" i="5"/>
  <c r="T259" i="5"/>
  <c r="T171" i="5"/>
  <c r="O31" i="8"/>
  <c r="N83" i="6"/>
  <c r="T71" i="5"/>
  <c r="Q37" i="3"/>
  <c r="N33" i="6"/>
  <c r="N206" i="6"/>
  <c r="M35" i="7"/>
  <c r="T34" i="5"/>
  <c r="M17" i="7"/>
  <c r="M66" i="7"/>
  <c r="N30" i="6"/>
  <c r="Q33" i="3"/>
  <c r="T88" i="5"/>
  <c r="N46" i="6"/>
  <c r="N59" i="6"/>
  <c r="T235" i="5"/>
  <c r="T153" i="5"/>
  <c r="T136" i="5"/>
  <c r="N119" i="6"/>
  <c r="T68" i="5"/>
  <c r="T232" i="5"/>
  <c r="T43" i="5"/>
  <c r="N55" i="6"/>
  <c r="T165" i="5"/>
  <c r="T22" i="5"/>
  <c r="K21" i="17"/>
  <c r="N35" i="6"/>
  <c r="N107" i="6"/>
  <c r="T266" i="5"/>
  <c r="N25" i="6"/>
  <c r="N183" i="6"/>
  <c r="M127" i="7"/>
  <c r="Q22" i="3"/>
  <c r="T24" i="5"/>
  <c r="M42" i="7"/>
  <c r="N71" i="6"/>
  <c r="M45" i="7"/>
  <c r="Q49" i="3"/>
  <c r="T72" i="5"/>
  <c r="M124" i="7"/>
  <c r="M63" i="7"/>
  <c r="M134" i="7"/>
  <c r="T149" i="5"/>
  <c r="N198" i="6"/>
  <c r="T99" i="5"/>
  <c r="T135" i="5"/>
  <c r="T105" i="5"/>
  <c r="N169" i="6"/>
  <c r="N197" i="6"/>
  <c r="T168" i="5"/>
  <c r="T207" i="5"/>
  <c r="N195" i="6"/>
  <c r="T222" i="5"/>
  <c r="T46" i="5"/>
  <c r="N21" i="6"/>
  <c r="M49" i="7"/>
  <c r="N34" i="6"/>
  <c r="T21" i="5"/>
  <c r="T186" i="5"/>
  <c r="T242" i="5"/>
  <c r="N154" i="6"/>
  <c r="T220" i="5"/>
  <c r="M19" i="7"/>
  <c r="Q25" i="3"/>
  <c r="T56" i="5"/>
  <c r="T161" i="5"/>
  <c r="T58" i="5"/>
  <c r="N40" i="6"/>
  <c r="T239" i="5"/>
  <c r="N23" i="6"/>
  <c r="T151" i="5"/>
  <c r="N47" i="6"/>
  <c r="T250" i="5"/>
  <c r="M70" i="7"/>
  <c r="T131" i="5"/>
  <c r="T152" i="5"/>
  <c r="S18" i="15"/>
  <c r="M54" i="7"/>
  <c r="N191" i="6"/>
  <c r="T67" i="5"/>
  <c r="N67" i="6"/>
  <c r="T258" i="5"/>
  <c r="N24" i="6"/>
  <c r="N75" i="6"/>
  <c r="T145" i="5"/>
  <c r="T257" i="5"/>
  <c r="M138" i="7"/>
  <c r="N121" i="6"/>
  <c r="N155" i="6"/>
  <c r="I16" i="24"/>
  <c r="S63" i="15"/>
  <c r="M52" i="7"/>
  <c r="M34" i="7"/>
  <c r="M18" i="7"/>
  <c r="K34" i="20"/>
  <c r="N204" i="6"/>
  <c r="S40" i="15"/>
  <c r="K20" i="17"/>
  <c r="N181" i="6"/>
  <c r="O18" i="23"/>
  <c r="L60" i="31"/>
  <c r="S22" i="15"/>
  <c r="S37" i="15"/>
  <c r="L61" i="31"/>
  <c r="M140" i="7"/>
  <c r="M105" i="7"/>
  <c r="Q47" i="3"/>
  <c r="N193" i="6"/>
  <c r="S51" i="15"/>
  <c r="M82" i="7"/>
  <c r="M93" i="7"/>
  <c r="K30" i="20"/>
  <c r="L25" i="31"/>
  <c r="S43" i="15"/>
  <c r="O16" i="23"/>
  <c r="T18" i="5"/>
  <c r="M20" i="7"/>
  <c r="M152" i="7"/>
  <c r="T195" i="5"/>
  <c r="N168" i="6"/>
  <c r="T85" i="5"/>
  <c r="N162" i="6"/>
  <c r="L17" i="10"/>
  <c r="N39" i="6"/>
  <c r="T60" i="5"/>
  <c r="T175" i="5"/>
  <c r="N192" i="6"/>
  <c r="T35" i="5"/>
  <c r="T267" i="5"/>
  <c r="K20" i="20"/>
  <c r="T296" i="5"/>
  <c r="N32" i="6"/>
  <c r="N66" i="6"/>
  <c r="N93" i="6"/>
  <c r="T249" i="5"/>
  <c r="N111" i="6"/>
  <c r="T91" i="5"/>
  <c r="T225" i="5"/>
  <c r="N137" i="6"/>
  <c r="T48" i="5"/>
  <c r="N143" i="6"/>
  <c r="T170" i="5"/>
  <c r="T273" i="5"/>
  <c r="N189" i="6"/>
  <c r="M75" i="7"/>
  <c r="N203" i="6"/>
  <c r="T63" i="5"/>
  <c r="L19" i="9"/>
  <c r="O27" i="8"/>
  <c r="T50" i="5"/>
  <c r="N157" i="6"/>
  <c r="N190" i="6"/>
  <c r="T80" i="5"/>
  <c r="N54" i="6"/>
  <c r="N122" i="6"/>
  <c r="N200" i="6"/>
  <c r="T299" i="5"/>
  <c r="T248" i="5"/>
  <c r="N20" i="6"/>
  <c r="N100" i="6"/>
  <c r="M130" i="7"/>
  <c r="T212" i="5"/>
  <c r="T65" i="5"/>
  <c r="T209" i="5"/>
  <c r="N202" i="6"/>
  <c r="T223" i="5"/>
  <c r="N87" i="6"/>
  <c r="T187" i="5"/>
  <c r="T208" i="5"/>
  <c r="N201" i="6"/>
  <c r="N159" i="6"/>
  <c r="M56" i="7"/>
  <c r="S74" i="15"/>
  <c r="N174" i="6"/>
  <c r="M115" i="7"/>
  <c r="N89" i="6"/>
  <c r="K41" i="17"/>
  <c r="K41" i="20"/>
  <c r="M64" i="7"/>
  <c r="S28" i="15"/>
  <c r="L18" i="31"/>
  <c r="O28" i="8"/>
  <c r="S73" i="15"/>
  <c r="L35" i="31"/>
  <c r="M121" i="7"/>
  <c r="S48" i="15"/>
  <c r="N205" i="6"/>
  <c r="N125" i="6"/>
  <c r="L17" i="9"/>
  <c r="K33" i="20"/>
  <c r="L18" i="10"/>
  <c r="K33" i="17"/>
  <c r="N133" i="6"/>
  <c r="S35" i="15"/>
  <c r="K27" i="20"/>
  <c r="N177" i="6"/>
  <c r="O24" i="8"/>
  <c r="K31" i="20"/>
  <c r="M68" i="7"/>
  <c r="T100" i="5"/>
  <c r="T260" i="5"/>
  <c r="N127" i="6"/>
  <c r="M23" i="7"/>
  <c r="M31" i="7"/>
  <c r="T124" i="5"/>
  <c r="T93" i="5"/>
  <c r="N91" i="6"/>
  <c r="M59" i="7"/>
  <c r="T32" i="5"/>
  <c r="T39" i="5"/>
  <c r="T221" i="5"/>
  <c r="N186" i="6"/>
  <c r="N132" i="6"/>
  <c r="T77" i="5"/>
  <c r="Q65" i="3"/>
  <c r="T52" i="5"/>
  <c r="T61" i="5"/>
  <c r="T40" i="5"/>
  <c r="N38" i="6"/>
  <c r="M111" i="7"/>
  <c r="N134" i="6"/>
  <c r="T142" i="5"/>
  <c r="M118" i="7"/>
  <c r="T231" i="5"/>
  <c r="M85" i="7"/>
  <c r="N60" i="6"/>
  <c r="T256" i="5"/>
  <c r="M51" i="7"/>
  <c r="T215" i="5"/>
  <c r="M102" i="7"/>
  <c r="T144" i="5"/>
  <c r="T66" i="5"/>
  <c r="M122" i="7"/>
  <c r="T205" i="5"/>
  <c r="T150" i="5"/>
  <c r="T183" i="5"/>
  <c r="M126" i="7"/>
  <c r="T146" i="5"/>
  <c r="T241" i="5"/>
  <c r="N180" i="6"/>
  <c r="N138" i="6"/>
  <c r="T197" i="5"/>
  <c r="T30" i="5"/>
  <c r="T240" i="5"/>
  <c r="N22" i="6"/>
  <c r="N18" i="6"/>
  <c r="T217" i="5"/>
  <c r="T115" i="5"/>
  <c r="M153" i="7"/>
  <c r="N84" i="6"/>
  <c r="N102" i="6"/>
  <c r="T297" i="5"/>
  <c r="T75" i="5"/>
  <c r="T227" i="5"/>
  <c r="M21" i="7"/>
  <c r="M37" i="7"/>
  <c r="M125" i="7"/>
  <c r="Q31" i="3"/>
  <c r="N61" i="6"/>
  <c r="S76" i="15"/>
  <c r="K32" i="20"/>
  <c r="S38" i="15"/>
  <c r="L37" i="31"/>
  <c r="S32" i="15"/>
  <c r="K29" i="20"/>
  <c r="M155" i="7"/>
  <c r="K32" i="17"/>
  <c r="S53" i="15"/>
  <c r="M30" i="7"/>
  <c r="M141" i="7"/>
  <c r="S71" i="15"/>
  <c r="T199" i="5"/>
  <c r="N158" i="6"/>
  <c r="S20" i="15"/>
  <c r="S21" i="15"/>
  <c r="M137" i="7"/>
  <c r="S67" i="15"/>
  <c r="M81" i="7"/>
  <c r="S57" i="15"/>
  <c r="K39" i="20"/>
  <c r="M22" i="7"/>
  <c r="S49" i="15"/>
  <c r="L16" i="31"/>
  <c r="N63" i="6"/>
  <c r="T166" i="5"/>
  <c r="M50" i="7"/>
  <c r="N115" i="6"/>
  <c r="N194" i="6"/>
  <c r="M69" i="7"/>
  <c r="T103" i="5"/>
  <c r="M112" i="7"/>
  <c r="N17" i="6"/>
  <c r="N58" i="6"/>
  <c r="S34" i="15"/>
  <c r="Q32" i="3"/>
  <c r="T120" i="5"/>
  <c r="K36" i="20"/>
  <c r="O16" i="22"/>
  <c r="T272" i="5"/>
  <c r="T69" i="5"/>
  <c r="N106" i="6"/>
  <c r="Q42" i="3"/>
  <c r="M139" i="7"/>
  <c r="N153" i="6"/>
  <c r="N50" i="6"/>
  <c r="T189" i="5"/>
  <c r="T226" i="5"/>
  <c r="M55" i="7"/>
  <c r="M120" i="7"/>
  <c r="N28" i="6"/>
  <c r="N88" i="6"/>
  <c r="T118" i="5"/>
  <c r="N161" i="6"/>
  <c r="M156" i="7"/>
  <c r="N113" i="6"/>
  <c r="T125" i="5"/>
  <c r="T216" i="5"/>
  <c r="T280" i="5"/>
  <c r="Q67" i="3"/>
  <c r="Q21" i="3"/>
  <c r="T201" i="5"/>
  <c r="T213" i="5"/>
  <c r="T113" i="5"/>
  <c r="T288" i="5"/>
  <c r="M53" i="7"/>
  <c r="T253" i="5"/>
  <c r="T254" i="5"/>
  <c r="T128" i="5"/>
  <c r="K40" i="20"/>
  <c r="T270" i="5"/>
  <c r="T277" i="5"/>
  <c r="T278" i="5"/>
  <c r="N37" i="6"/>
  <c r="M77" i="7"/>
  <c r="T230" i="5"/>
  <c r="O25" i="8"/>
  <c r="T255" i="5"/>
  <c r="T214" i="5"/>
  <c r="T210" i="5"/>
  <c r="N179" i="6"/>
  <c r="N109" i="6"/>
  <c r="K36" i="17"/>
  <c r="S17" i="15"/>
  <c r="M26" i="7"/>
  <c r="K24" i="20"/>
  <c r="O19" i="23"/>
  <c r="S44" i="15"/>
  <c r="N199" i="6"/>
  <c r="M109" i="7"/>
  <c r="L31" i="31"/>
  <c r="N170" i="6"/>
  <c r="O17" i="23"/>
  <c r="S60" i="15"/>
  <c r="M79" i="7"/>
  <c r="S25" i="15"/>
  <c r="L28" i="31"/>
  <c r="N108" i="6"/>
  <c r="N185" i="6"/>
  <c r="S29" i="15"/>
  <c r="M119" i="7"/>
  <c r="S54" i="15"/>
  <c r="S27" i="15"/>
  <c r="M129" i="7"/>
  <c r="Q43" i="3"/>
  <c r="L32" i="31"/>
  <c r="M145" i="7"/>
  <c r="S56" i="15"/>
  <c r="Q35" i="3"/>
  <c r="M114" i="7"/>
  <c r="K18" i="20"/>
  <c r="S16" i="15"/>
  <c r="N43" i="6"/>
  <c r="K16" i="17"/>
  <c r="L46" i="31"/>
  <c r="S66" i="15"/>
  <c r="Q29" i="3"/>
  <c r="L16" i="9"/>
  <c r="L15" i="9" s="1"/>
  <c r="L13" i="9" s="1"/>
  <c r="L11" i="9" s="1"/>
  <c r="K50" i="17"/>
  <c r="K26" i="17"/>
  <c r="K25" i="17" s="1"/>
  <c r="Q64" i="3"/>
  <c r="Q63" i="3" s="1"/>
  <c r="T285" i="5"/>
  <c r="M88" i="7"/>
  <c r="M87" i="7" s="1"/>
  <c r="S39" i="15"/>
  <c r="K18" i="17"/>
  <c r="M58" i="7"/>
  <c r="Q23" i="3"/>
  <c r="M117" i="7"/>
  <c r="M27" i="7"/>
  <c r="K38" i="17"/>
  <c r="M40" i="7"/>
  <c r="L19" i="31"/>
  <c r="K21" i="20"/>
  <c r="N130" i="6"/>
  <c r="N182" i="6"/>
  <c r="K40" i="17"/>
  <c r="M154" i="7"/>
  <c r="M135" i="7"/>
  <c r="S59" i="15"/>
  <c r="K26" i="20"/>
  <c r="N129" i="6"/>
  <c r="S23" i="15"/>
  <c r="O32" i="8"/>
  <c r="S41" i="15"/>
  <c r="M76" i="7"/>
  <c r="S26" i="15"/>
  <c r="L41" i="31"/>
  <c r="M16" i="7"/>
  <c r="M15" i="7" s="1"/>
  <c r="N16" i="6"/>
  <c r="Q16" i="3"/>
  <c r="N97" i="6"/>
  <c r="T295" i="5"/>
  <c r="T294" i="5" s="1"/>
  <c r="T292" i="5" s="1"/>
  <c r="O21" i="8"/>
  <c r="Q59" i="3"/>
  <c r="Q58" i="3" s="1"/>
  <c r="O24" i="22"/>
  <c r="O23" i="22" s="1"/>
  <c r="O12" i="22" s="1"/>
  <c r="Q14" i="12"/>
  <c r="Q13" i="12" s="1"/>
  <c r="Q11" i="12" s="1"/>
  <c r="L30" i="31"/>
  <c r="Q51" i="3"/>
  <c r="K22" i="20"/>
  <c r="L26" i="31"/>
  <c r="K56" i="17"/>
  <c r="S52" i="15"/>
  <c r="L42" i="31"/>
  <c r="S61" i="15"/>
  <c r="N196" i="6"/>
  <c r="I17" i="24"/>
  <c r="M159" i="7"/>
  <c r="N105" i="6"/>
  <c r="L20" i="31"/>
  <c r="K37" i="17"/>
  <c r="M48" i="7"/>
  <c r="L48" i="31"/>
  <c r="S19" i="15"/>
  <c r="M44" i="7"/>
  <c r="L34" i="31"/>
  <c r="S55" i="15"/>
  <c r="N45" i="6"/>
  <c r="S33" i="15"/>
  <c r="M80" i="7"/>
  <c r="L27" i="31"/>
  <c r="K54" i="17"/>
  <c r="M100" i="7"/>
  <c r="I15" i="24"/>
  <c r="I14" i="24" s="1"/>
  <c r="I12" i="24" s="1"/>
  <c r="I10" i="24" s="1"/>
  <c r="K15" i="26"/>
  <c r="K14" i="26" s="1"/>
  <c r="K12" i="26" s="1"/>
  <c r="K10" i="26" s="1"/>
  <c r="L16" i="10"/>
  <c r="L15" i="10" s="1"/>
  <c r="K47" i="17"/>
  <c r="K46" i="17" s="1"/>
  <c r="M74" i="7"/>
  <c r="M73" i="7" s="1"/>
  <c r="T193" i="5"/>
  <c r="T192" i="5" s="1"/>
  <c r="N165" i="6"/>
  <c r="N152" i="6"/>
  <c r="N151" i="6" s="1"/>
  <c r="L24" i="31"/>
  <c r="K30" i="17"/>
  <c r="M92" i="7"/>
  <c r="M91" i="7" s="1"/>
  <c r="M149" i="7"/>
  <c r="L17" i="31"/>
  <c r="K23" i="20"/>
  <c r="N166" i="6"/>
  <c r="Q19" i="3"/>
  <c r="K51" i="17"/>
  <c r="M60" i="7"/>
  <c r="K19" i="20"/>
  <c r="M17" i="16"/>
  <c r="N73" i="6"/>
  <c r="K42" i="17"/>
  <c r="M36" i="7"/>
  <c r="N81" i="6"/>
  <c r="L33" i="31"/>
  <c r="S75" i="15"/>
  <c r="M101" i="7"/>
  <c r="S31" i="15"/>
  <c r="K35" i="20"/>
  <c r="N173" i="6"/>
  <c r="S45" i="15"/>
  <c r="M18" i="16"/>
  <c r="L47" i="31"/>
  <c r="K25" i="20"/>
  <c r="N85" i="6"/>
  <c r="L59" i="31"/>
  <c r="L58" i="31" s="1"/>
  <c r="L56" i="31" s="1"/>
  <c r="L15" i="31"/>
  <c r="L14" i="31" s="1"/>
  <c r="T16" i="5"/>
  <c r="T15" i="5" s="1"/>
  <c r="M16" i="16"/>
  <c r="Q17" i="21"/>
  <c r="Q16" i="21" s="1"/>
  <c r="Q13" i="21" s="1"/>
  <c r="O15" i="23"/>
  <c r="O14" i="23" s="1"/>
  <c r="O12" i="23" s="1"/>
  <c r="O10" i="23" s="1"/>
  <c r="L36" i="31"/>
  <c r="K55" i="17"/>
  <c r="N208" i="6"/>
  <c r="S24" i="15"/>
  <c r="K38" i="20"/>
  <c r="N57" i="6"/>
  <c r="S68" i="15"/>
  <c r="S47" i="15"/>
  <c r="S46" i="15"/>
  <c r="K37" i="20"/>
  <c r="N65" i="6"/>
  <c r="M38" i="7"/>
  <c r="L29" i="31"/>
  <c r="S36" i="15"/>
  <c r="N141" i="6"/>
  <c r="K19" i="17"/>
  <c r="M150" i="7"/>
  <c r="N101" i="6"/>
  <c r="K34" i="17"/>
  <c r="M113" i="7"/>
  <c r="Q39" i="3"/>
  <c r="K28" i="20"/>
  <c r="M83" i="7"/>
  <c r="D42" i="1" l="1"/>
  <c r="M15" i="16"/>
  <c r="M13" i="16" s="1"/>
  <c r="M11" i="16" s="1"/>
  <c r="O20" i="8"/>
  <c r="O18" i="8" s="1"/>
  <c r="O12" i="8" s="1"/>
  <c r="N15" i="6"/>
  <c r="K29" i="17"/>
  <c r="M148" i="7"/>
  <c r="N149" i="6"/>
  <c r="M99" i="7"/>
  <c r="Q56" i="3"/>
  <c r="Q15" i="3"/>
  <c r="T284" i="5"/>
  <c r="K15" i="17"/>
  <c r="K13" i="17" s="1"/>
  <c r="N164" i="6"/>
  <c r="L13" i="10"/>
  <c r="L11" i="10"/>
  <c r="K53" i="17"/>
  <c r="Q28" i="3"/>
  <c r="N42" i="6"/>
  <c r="N13" i="6" s="1"/>
  <c r="N11" i="6" s="1"/>
  <c r="T13" i="5"/>
  <c r="T11" i="5" s="1"/>
  <c r="M13" i="7"/>
  <c r="S65" i="15"/>
  <c r="S15" i="15"/>
  <c r="S13" i="15" s="1"/>
  <c r="S11" i="15" s="1"/>
  <c r="L23" i="31"/>
  <c r="N96" i="6"/>
  <c r="L40" i="31"/>
  <c r="K49" i="17"/>
  <c r="K44" i="17" s="1"/>
  <c r="L45" i="31"/>
  <c r="K17" i="20"/>
  <c r="K13" i="20" s="1"/>
  <c r="K11" i="20" s="1"/>
  <c r="M97" i="7" l="1"/>
  <c r="M11" i="7" s="1"/>
  <c r="L12" i="31"/>
  <c r="L10" i="31" s="1"/>
  <c r="Q13" i="3"/>
  <c r="Q11" i="3" s="1"/>
  <c r="K11" i="17"/>
</calcChain>
</file>

<file path=xl/sharedStrings.xml><?xml version="1.0" encoding="utf-8"?>
<sst xmlns="http://schemas.openxmlformats.org/spreadsheetml/2006/main" count="5678" uniqueCount="1552">
  <si>
    <t>תאריך הדיווח: 29/12/2016</t>
  </si>
  <si>
    <t>החברה המדווחת: איילון חברה לביטוח בע"מ</t>
  </si>
  <si>
    <t>שם מסלול/קרן/קופה: 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</si>
  <si>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</si>
  <si>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</si>
  <si>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</si>
  <si>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</si>
  <si>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</si>
  <si>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</si>
  <si>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</si>
  <si>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</si>
  <si>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</si>
  <si>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</si>
  <si>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</si>
  <si>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</si>
  <si>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</si>
  <si>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</si>
  <si>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</si>
  <si>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</si>
  <si>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</si>
  <si>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</si>
  <si>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</si>
  <si>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(2) תעודות חוב מסחריות ל"ס</t>
  </si>
  <si>
    <t>(3) אג"ח קונצרני ל"ס</t>
  </si>
  <si>
    <t>(4) מניות ל"ס</t>
  </si>
  <si>
    <t>(5) קרנות השקעה ל"ס</t>
  </si>
  <si>
    <t>(6) כתבי אופציה ל"ס</t>
  </si>
  <si>
    <t>(7) אופציות ל"ס</t>
  </si>
  <si>
    <t>(8) חוזים עתידיים ל"ס</t>
  </si>
  <si>
    <t>(9) מוצרים מובנים ל"ס</t>
  </si>
  <si>
    <t>ד. הלוואות</t>
  </si>
  <si>
    <t>ה. פקדונות</t>
  </si>
  <si>
    <t>ו. זכויות מקרקעין</t>
  </si>
  <si>
    <t>ז. חברות מוחזקות</t>
  </si>
  <si>
    <t>ח. השקעות אחרות</t>
  </si>
  <si>
    <t>2. נכסים המוצגים לפי עלות מתואמת</t>
  </si>
  <si>
    <t>א. אג"ח קונצרני</t>
  </si>
  <si>
    <t>ב. אג"ח קונצרני ל"ס</t>
  </si>
  <si>
    <t>ג. הלוואות</t>
  </si>
  <si>
    <t>סה"כ סכום נכסי הקופה</t>
  </si>
  <si>
    <t>ט. התחייבות להשקעה</t>
  </si>
  <si>
    <t>מטבע</t>
  </si>
  <si>
    <t>שער</t>
  </si>
  <si>
    <t>דולר אמריקאי</t>
  </si>
  <si>
    <t>יין</t>
  </si>
  <si>
    <t>שטרלינג</t>
  </si>
  <si>
    <t>פרנק שוצרי</t>
  </si>
  <si>
    <t>דולר קנדי</t>
  </si>
  <si>
    <t>אירו</t>
  </si>
  <si>
    <t>כתר שוודי</t>
  </si>
  <si>
    <t>דינר ידרני</t>
  </si>
  <si>
    <t>כתר דני</t>
  </si>
  <si>
    <t>רנד דרא"פ</t>
  </si>
  <si>
    <t>דולר אוסטרלי</t>
  </si>
  <si>
    <t>קורונה סלוברית</t>
  </si>
  <si>
    <t>לירה קפריסאית</t>
  </si>
  <si>
    <t>כתר נורבגי</t>
  </si>
  <si>
    <t>קונה קרואטי</t>
  </si>
  <si>
    <t>פזו מקסיקני</t>
  </si>
  <si>
    <t>רובל רוסי</t>
  </si>
  <si>
    <t>ריאל ברזיל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</si>
  <si>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</si>
  <si>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</si>
  <si>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</si>
  <si>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</si>
  <si>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</si>
  <si>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 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</si>
  <si>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</si>
  <si>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</si>
  <si>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</si>
  <si>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</si>
  <si>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</si>
  <si>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</si>
  <si>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</si>
  <si>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</si>
  <si>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</si>
  <si>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הופק בתוכנת פריים זהב, מהדורה 5.20,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</si>
  <si>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</si>
  <si>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</si>
  <si>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</si>
  <si>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</si>
  <si>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</si>
  <si>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</si>
  <si>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</si>
  <si>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</si>
  <si>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</si>
  <si>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</si>
  <si>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 השקעה</t>
  </si>
  <si>
    <t>שעור מנכסי השקעה</t>
  </si>
  <si>
    <t>אחוזים</t>
  </si>
  <si>
    <t>אלפי ₪</t>
  </si>
  <si>
    <t>סה"כ מזומנים</t>
  </si>
  <si>
    <t>סה"כ מזומנים בישראל</t>
  </si>
  <si>
    <t>סה"כ יתרות מזומנים ועו"ש בש"ח</t>
  </si>
  <si>
    <t>AA+</t>
  </si>
  <si>
    <t>מעלות</t>
  </si>
  <si>
    <t>שקל חדש</t>
  </si>
  <si>
    <t>13-00000004</t>
  </si>
  <si>
    <t>AA-</t>
  </si>
  <si>
    <t>AA</t>
  </si>
  <si>
    <t>סה"כ יתרות מזומנים ועו"ש נקובים במט"ח</t>
  </si>
  <si>
    <t>דולר אוסטרלי מזומן -בנק בנלאומי</t>
  </si>
  <si>
    <t>דולר אוסטרלי מזומן- בנק מזרחי</t>
  </si>
  <si>
    <t>דולר מזומן -בנק בנלאומי</t>
  </si>
  <si>
    <t>דולר מזומן -בנק מזרחי</t>
  </si>
  <si>
    <t>יורו מזומן -בנק מזרחי</t>
  </si>
  <si>
    <t>יורו מזומן- בנק בנלאומי</t>
  </si>
  <si>
    <t>סה"כ פח"ק/פר"י</t>
  </si>
  <si>
    <t>פח"ק 105 (הבינלאומי)</t>
  </si>
  <si>
    <t>31-00012220</t>
  </si>
  <si>
    <t>פח"ק 209 (הבינלאומי)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</si>
  <si>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</si>
  <si>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</si>
  <si>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</si>
  <si>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</si>
  <si>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מזומנים בחו"ל</t>
  </si>
  <si>
    <t>בטחונות HSBC USD (מזרחי)</t>
  </si>
  <si>
    <t>20-00415323</t>
  </si>
  <si>
    <t>S&amp;P</t>
  </si>
  <si>
    <t>בטחונות HSBC יורו (מזרחי)</t>
  </si>
  <si>
    <t>20-00327064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</si>
  <si>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</si>
  <si>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</si>
  <si>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</si>
  <si>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</si>
  <si>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</si>
  <si>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</si>
  <si>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</si>
  <si>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שעור מערך נקוב מונפק</t>
  </si>
  <si>
    <t>שיעור מנכסי אפיק ההשקעה</t>
  </si>
  <si>
    <t>תאריך</t>
  </si>
  <si>
    <t>שנים</t>
  </si>
  <si>
    <t>ש"ח</t>
  </si>
  <si>
    <t>אגורות</t>
  </si>
  <si>
    <t>סה"כ תעודות התחייבות ממשלתיות</t>
  </si>
  <si>
    <t>סה"כ אג"ח ממשלתי בישראל</t>
  </si>
  <si>
    <t>סה"כ ממשלתי צמוד מדד</t>
  </si>
  <si>
    <t>גליל 5903</t>
  </si>
  <si>
    <t>TASE</t>
  </si>
  <si>
    <t>RF</t>
  </si>
  <si>
    <t>גליל 5904</t>
  </si>
  <si>
    <t>מממשק 517</t>
  </si>
  <si>
    <t>ממשלתי צמוד 0418</t>
  </si>
  <si>
    <t>ממשלתי צמוד 0536</t>
  </si>
  <si>
    <t>ממשלתי צמוד 0841</t>
  </si>
  <si>
    <t>ממשלתי צמוד 0922</t>
  </si>
  <si>
    <t>ממשלתי צמוד 0923</t>
  </si>
  <si>
    <t>ממשלתי צמוד 1019</t>
  </si>
  <si>
    <t>ממשלתי צמוד 1020</t>
  </si>
  <si>
    <t>ממשלתי צמוד 1025</t>
  </si>
  <si>
    <t>סה"כ ממשלתי לא צמוד</t>
  </si>
  <si>
    <t>מ.ק.מ 1017</t>
  </si>
  <si>
    <t>מ.ק.מ 117</t>
  </si>
  <si>
    <t>מ.ק.מ 227</t>
  </si>
  <si>
    <t>מ.ק.מ 617</t>
  </si>
  <si>
    <t>מקמ 1127</t>
  </si>
  <si>
    <t>מקמ 1217</t>
  </si>
  <si>
    <t>מקמ 517</t>
  </si>
  <si>
    <t>מקמ 717</t>
  </si>
  <si>
    <t>מקמ 817</t>
  </si>
  <si>
    <t>ממשל שקלית 0142</t>
  </si>
  <si>
    <t>ממשל שקלית 1018</t>
  </si>
  <si>
    <t>ממשלתי שקלי 0118</t>
  </si>
  <si>
    <t>ממשלתי שקלי 0120</t>
  </si>
  <si>
    <t>ממשלתי שקלי 0122</t>
  </si>
  <si>
    <t>ממשלתי שקלי 0217</t>
  </si>
  <si>
    <t>ממשלתי שקלי 0219</t>
  </si>
  <si>
    <t>ממשלתי שקלי 0323</t>
  </si>
  <si>
    <t>ממשלתי שקלי 0324</t>
  </si>
  <si>
    <t>ממשלתי שקלי 0421</t>
  </si>
  <si>
    <t>ממשלתי שקלי 0519</t>
  </si>
  <si>
    <t>ממשלתי שקלי 0825</t>
  </si>
  <si>
    <t>ממשלתי שקלי 1017</t>
  </si>
  <si>
    <t>ממשלתי שקלי 1026</t>
  </si>
  <si>
    <t>ממשלתי ריבית משתנה 817</t>
  </si>
  <si>
    <t>סה"כ ממשלתי צמוד מט"ח</t>
  </si>
  <si>
    <t>סה"כ ממשלתי חו"ל</t>
  </si>
  <si>
    <t>סה"כ אג"ח של ממשלת ישראל שהונפקו בחו"ל</t>
  </si>
  <si>
    <t>ISRAEL 5.125 26/3/19</t>
  </si>
  <si>
    <t>US46513E5Y48</t>
  </si>
  <si>
    <t>NYSE</t>
  </si>
  <si>
    <t>A+</t>
  </si>
  <si>
    <t>ISRAEL2.875 16/03/26</t>
  </si>
  <si>
    <t>US46513CXR23</t>
  </si>
  <si>
    <t>אחר</t>
  </si>
  <si>
    <t>ISRAEL3.15% 06/23</t>
  </si>
  <si>
    <t>US4651387M19</t>
  </si>
  <si>
    <t>סה"כ אג"ח שהנפיקו ממשלות זרות בחו"ל</t>
  </si>
  <si>
    <t>T 1 5/8 31.7.19</t>
  </si>
  <si>
    <t>US912828WW69</t>
  </si>
  <si>
    <t>T 1.5% 15/08/26 GOVT</t>
  </si>
  <si>
    <t>US9128282A70</t>
  </si>
  <si>
    <t>T 1.625 30.11.20 gov</t>
  </si>
  <si>
    <t>US912828M987</t>
  </si>
  <si>
    <t>T 3/4 31/08/18 govt</t>
  </si>
  <si>
    <t>US9128282C37</t>
  </si>
  <si>
    <t>TREASURY 1.75%10.18</t>
  </si>
  <si>
    <t>US912828RP73</t>
  </si>
  <si>
    <t>NASDAQ</t>
  </si>
  <si>
    <t>MBONO 6.5% 10/06/21</t>
  </si>
  <si>
    <t>MX0MGO0000N7</t>
  </si>
  <si>
    <t>BBB+</t>
  </si>
  <si>
    <t>Fitch</t>
  </si>
  <si>
    <t>2. תעודות חוב מסחריות</t>
  </si>
  <si>
    <t>ספק מידע</t>
  </si>
  <si>
    <t>ענף מסחר</t>
  </si>
  <si>
    <t>סה"כ תעודות חוב מסחריות</t>
  </si>
  <si>
    <t>סה"כ תעודות חוב מסחריות בישראל</t>
  </si>
  <si>
    <t>סה"כ תעודות חוב מסחריות צמודות</t>
  </si>
  <si>
    <t>סה"כ תעודות חוב מסחריות לא צמודות</t>
  </si>
  <si>
    <t>סה"כ תעודות חוב מסחריות צמודות למט"ח</t>
  </si>
  <si>
    <t>סה"כ תעודות חוב מסחריות אחרות</t>
  </si>
  <si>
    <t>סה"כ תעודות חוב מסחריות בחו"ל</t>
  </si>
  <si>
    <t>סה"כ תעודות חוב מסחריות חברות ישראליות בחו"ל</t>
  </si>
  <si>
    <t>סה"כ תעודות חוב מסחריות חברות זרות בחו"ל</t>
  </si>
  <si>
    <t>3. אג"ח קונצרני</t>
  </si>
  <si>
    <t>סה"כ אג"ח קונצרני</t>
  </si>
  <si>
    <t>סה"כ אג"ח קונצרני בישראל</t>
  </si>
  <si>
    <t>סה"כ אגרות חוב קונצרניות צמודות</t>
  </si>
  <si>
    <t>לאומי   אגח 177</t>
  </si>
  <si>
    <t>בנקים</t>
  </si>
  <si>
    <t>AAA</t>
  </si>
  <si>
    <t>מזרחי טפחות הנפקות 35</t>
  </si>
  <si>
    <t>מזרחי טפחות הנפקות 44</t>
  </si>
  <si>
    <t>מזרחי טפחות הנפקות אג36</t>
  </si>
  <si>
    <t>מזרחי טפחות הנפקות אג38</t>
  </si>
  <si>
    <t>מזרחי טפחות הנפקות אג39</t>
  </si>
  <si>
    <t>מזרחי טפחות הנפקות אג43</t>
  </si>
  <si>
    <t>פועלים הנפ אג32</t>
  </si>
  <si>
    <t>פועלים הנפקות 31</t>
  </si>
  <si>
    <t>פועלים הנפקות 34</t>
  </si>
  <si>
    <t>פועלים הנפקות אג33</t>
  </si>
  <si>
    <t>בינל הנפ אג3</t>
  </si>
  <si>
    <t>לאומי התח נד  ח</t>
  </si>
  <si>
    <t>לאומי התח נד יב</t>
  </si>
  <si>
    <t>לאומי התח נד יד</t>
  </si>
  <si>
    <t>מזרחי הנפקות הת30</t>
  </si>
  <si>
    <t>מזרחי סידרה 31</t>
  </si>
  <si>
    <t>עזריאלי אגח ד</t>
  </si>
  <si>
    <t>נדל"ן ובינוי</t>
  </si>
  <si>
    <t>מידרוג</t>
  </si>
  <si>
    <t>פועלים הנפקות אג10</t>
  </si>
  <si>
    <t>פועלים הנפקות אג9</t>
  </si>
  <si>
    <t>פועלים הנפקות סד יד'</t>
  </si>
  <si>
    <t>ארפורט אג3</t>
  </si>
  <si>
    <t>ארפורט אג5</t>
  </si>
  <si>
    <t>בזק אג"ח 6</t>
  </si>
  <si>
    <t>תקשורת ומדיה</t>
  </si>
  <si>
    <t>בזק אג5</t>
  </si>
  <si>
    <t>בינל הנפ אג4</t>
  </si>
  <si>
    <t>בינל הנפ אג5</t>
  </si>
  <si>
    <t>בינל הנפ שה2</t>
  </si>
  <si>
    <t>בינלאומי הנפ הת20</t>
  </si>
  <si>
    <t>דיסקונט הת10</t>
  </si>
  <si>
    <t>דיסקונט מנפיקים הת1</t>
  </si>
  <si>
    <t>דיסקונט מנפיקים הת2</t>
  </si>
  <si>
    <t>דיסקונט מנפיקים הת4</t>
  </si>
  <si>
    <t>דיסקונט מנפיקים הת8</t>
  </si>
  <si>
    <t>הראל הנפקות אג1</t>
  </si>
  <si>
    <t>ביטוח</t>
  </si>
  <si>
    <t>וילאר אג6</t>
  </si>
  <si>
    <t>כלל ביטוח אג1</t>
  </si>
  <si>
    <t>כלל ביטוח אג2</t>
  </si>
  <si>
    <t>לאומי ש. הון נדחה</t>
  </si>
  <si>
    <t>לאומי שה נד 300</t>
  </si>
  <si>
    <t>נצבא אג5</t>
  </si>
  <si>
    <t>פועלים הנפקות שט1</t>
  </si>
  <si>
    <t>פניקס הון הת1</t>
  </si>
  <si>
    <t>שטראוס עלית אג2</t>
  </si>
  <si>
    <t>מזון</t>
  </si>
  <si>
    <t>אגוד הנפ  אגח ט</t>
  </si>
  <si>
    <t>אגוד הנפקות אג6</t>
  </si>
  <si>
    <t>אדמה אג2</t>
  </si>
  <si>
    <t>כימיה גומי ופלסטיק</t>
  </si>
  <si>
    <t>אלוני חץ אג6</t>
  </si>
  <si>
    <t>אלוני חץ אג8</t>
  </si>
  <si>
    <t>אמות אג1</t>
  </si>
  <si>
    <t>אמות אג2</t>
  </si>
  <si>
    <t>אמות אג3</t>
  </si>
  <si>
    <t>בינל הנפ אג6</t>
  </si>
  <si>
    <t>בראק אן וי אג1</t>
  </si>
  <si>
    <t>גב ים אג5</t>
  </si>
  <si>
    <t>גב ים אג6</t>
  </si>
  <si>
    <t>גזית גלוב אג"ח יא</t>
  </si>
  <si>
    <t>גזית גלוב אג10</t>
  </si>
  <si>
    <t>גזית גלוב אג12</t>
  </si>
  <si>
    <t>גזית גלוב אג3</t>
  </si>
  <si>
    <t>גזית גלוב אג4</t>
  </si>
  <si>
    <t>גזית גלוב אג9</t>
  </si>
  <si>
    <t>דקסיה הנפקות אג10</t>
  </si>
  <si>
    <t>דקסיה הנפקות אג7</t>
  </si>
  <si>
    <t>דקסיה ישראל אג2</t>
  </si>
  <si>
    <t>הראל הנפקות אג"ח ח'</t>
  </si>
  <si>
    <t>הראל הנפקות אג4</t>
  </si>
  <si>
    <t>הראל הנפקות אג5</t>
  </si>
  <si>
    <t>כלל ביטוח אג"ח ג'</t>
  </si>
  <si>
    <t>כלל ביטוח אג7</t>
  </si>
  <si>
    <t>מליסרון   אגח ט</t>
  </si>
  <si>
    <t>מליסרון   אגח יד</t>
  </si>
  <si>
    <t>מליסרון  אגח יב</t>
  </si>
  <si>
    <t>מליסרון  אגח יג</t>
  </si>
  <si>
    <t>מליסרון אג"ח ו'</t>
  </si>
  <si>
    <t>מליסרון אג4</t>
  </si>
  <si>
    <t>מליסרון אגח ה</t>
  </si>
  <si>
    <t>מנורה הון אג1</t>
  </si>
  <si>
    <t>מנורה מבטחים אג1</t>
  </si>
  <si>
    <t>פז נפט אג6</t>
  </si>
  <si>
    <t>השקעה ואחזקות</t>
  </si>
  <si>
    <t>פניקס אגח 2</t>
  </si>
  <si>
    <t>ריט1 אג1</t>
  </si>
  <si>
    <t>ריט1 אג3</t>
  </si>
  <si>
    <t>אגוד הנפקות הת19</t>
  </si>
  <si>
    <t>אגוד הנפקות הת2</t>
  </si>
  <si>
    <t>אלקטרה    אגח ג</t>
  </si>
  <si>
    <t>ביג אג ח</t>
  </si>
  <si>
    <t>ביג אג4</t>
  </si>
  <si>
    <t>ביג אג5</t>
  </si>
  <si>
    <t>הוט אג"ח א'</t>
  </si>
  <si>
    <t>ירושלים הנפקות הת2</t>
  </si>
  <si>
    <t>מיטב דש אג3</t>
  </si>
  <si>
    <t>שירותים פיננסיים</t>
  </si>
  <si>
    <t>נורסטאר אג11</t>
  </si>
  <si>
    <t>נורסטאר אג6</t>
  </si>
  <si>
    <t>נכסים ובנין אג"ח  ו'</t>
  </si>
  <si>
    <t>נכסים ובנין אגח ח</t>
  </si>
  <si>
    <t>סלקום אג2</t>
  </si>
  <si>
    <t>סלקום אג4</t>
  </si>
  <si>
    <t>סלקום אג8</t>
  </si>
  <si>
    <t>פרטנר אג3</t>
  </si>
  <si>
    <t>שופרסל    אגח ד</t>
  </si>
  <si>
    <t>מסחר</t>
  </si>
  <si>
    <t>שופרסל אג2</t>
  </si>
  <si>
    <t>איידיאו אג7</t>
  </si>
  <si>
    <t>A</t>
  </si>
  <si>
    <t>אלרוב נדלן אג2</t>
  </si>
  <si>
    <t>אלרוב נדלן אג3</t>
  </si>
  <si>
    <t>אשטרום נכסים אג7</t>
  </si>
  <si>
    <t>אשטרום נכסים אג8</t>
  </si>
  <si>
    <t>אשטרום קבוצה אג1</t>
  </si>
  <si>
    <t>גירון אג"ח ג</t>
  </si>
  <si>
    <t>דלק קבוצה אג18</t>
  </si>
  <si>
    <t>דלק קבוצה אג22</t>
  </si>
  <si>
    <t>דקסיה ישראל הנפקות הת13</t>
  </si>
  <si>
    <t>דרבן אג4</t>
  </si>
  <si>
    <t>חברה לישראל אג7</t>
  </si>
  <si>
    <t>ישפרו אג2</t>
  </si>
  <si>
    <t>מגה אור אג4</t>
  </si>
  <si>
    <t>מגה אור אגח ג</t>
  </si>
  <si>
    <t>נכסים ובנין אג3</t>
  </si>
  <si>
    <t>נכסים ובנין אג4</t>
  </si>
  <si>
    <t>רבוע כחול נדל"ן אגח ג</t>
  </si>
  <si>
    <t>רבוע כחול נדל"ן ד'</t>
  </si>
  <si>
    <t>רבוע נדלן אג5</t>
  </si>
  <si>
    <t>שיכון ובינוי אג6</t>
  </si>
  <si>
    <t>שיכון ובינוי אגח  8</t>
  </si>
  <si>
    <t>שלמה החז אגח טז</t>
  </si>
  <si>
    <t>שרותים</t>
  </si>
  <si>
    <t>שלמה החזקות אג"ח י"ד</t>
  </si>
  <si>
    <t>שלמה החזקות אג11</t>
  </si>
  <si>
    <t>אדגר      אגח ח</t>
  </si>
  <si>
    <t>A-</t>
  </si>
  <si>
    <t>אדגר אג"ח ז'</t>
  </si>
  <si>
    <t>אדגר אגח ט</t>
  </si>
  <si>
    <t>אזורים אג8</t>
  </si>
  <si>
    <t>אינטרנט זהב אג4</t>
  </si>
  <si>
    <t>אינטרנט זהב ק3</t>
  </si>
  <si>
    <t>אלבר אג13</t>
  </si>
  <si>
    <t>אפריקה נכס אג5</t>
  </si>
  <si>
    <t>גלובל פינ8 אג1</t>
  </si>
  <si>
    <t>דה לסר אג2</t>
  </si>
  <si>
    <t>טלדור אג2</t>
  </si>
  <si>
    <t>ירושלים הנפקות הת3</t>
  </si>
  <si>
    <t>מבני תעשיה אג יח</t>
  </si>
  <si>
    <t>מבני תעשיה אג14</t>
  </si>
  <si>
    <t>מבני תעשיה אג8</t>
  </si>
  <si>
    <t>אביב אג4</t>
  </si>
  <si>
    <t>בזן אג1</t>
  </si>
  <si>
    <t>כלכלית י-ם אג10</t>
  </si>
  <si>
    <t>כלכלית י-ם אג6</t>
  </si>
  <si>
    <t>כלכלית ירושלים סד יד</t>
  </si>
  <si>
    <t>הכשרה ביטוח אג"ח 1</t>
  </si>
  <si>
    <t>BBB</t>
  </si>
  <si>
    <t>מישורים אגח ג</t>
  </si>
  <si>
    <t>BBB-</t>
  </si>
  <si>
    <t>דסק"ש אג6</t>
  </si>
  <si>
    <t>דסק"ש אג8</t>
  </si>
  <si>
    <t>קרדן אן.וי אג א</t>
  </si>
  <si>
    <t>B</t>
  </si>
  <si>
    <t>אידיבי פיתוח אג7</t>
  </si>
  <si>
    <t>CCC</t>
  </si>
  <si>
    <t>פלאזה אג2</t>
  </si>
  <si>
    <t>אפריקה השקעות אג28</t>
  </si>
  <si>
    <t>CC</t>
  </si>
  <si>
    <t>אפריקה ישראל כ"ו</t>
  </si>
  <si>
    <t>אביב ארלון אגח ה</t>
  </si>
  <si>
    <t>אלקטרוכימים אג3</t>
  </si>
  <si>
    <t>בולוס גד אג"ח א'</t>
  </si>
  <si>
    <t>בולוס גד אג1</t>
  </si>
  <si>
    <t>בולוס גד תיירות ומלו</t>
  </si>
  <si>
    <t>בולוס תיירות אג1</t>
  </si>
  <si>
    <t>דלק אנרגיה אג5</t>
  </si>
  <si>
    <t>חיפושי נפט וגז</t>
  </si>
  <si>
    <t>יונטרוניקס סידרה 4</t>
  </si>
  <si>
    <t>אלקטרוניקה ואופטיקה</t>
  </si>
  <si>
    <t>לוחות הגליל אג1</t>
  </si>
  <si>
    <t>עץ נייר ודפוס</t>
  </si>
  <si>
    <t>לוחות הגליל מפ10/03</t>
  </si>
  <si>
    <t>ממ הנדסה אג-א מפ</t>
  </si>
  <si>
    <t>ממ הנדסה אגח-א מפ 2/</t>
  </si>
  <si>
    <t>ממ הנדסה.ה1</t>
  </si>
  <si>
    <t>מפעל פלדה אג1</t>
  </si>
  <si>
    <t>מתכת ומוצרי בניה</t>
  </si>
  <si>
    <t>מפעלי פלדה אגח</t>
  </si>
  <si>
    <t>משביר לצרכן אג2</t>
  </si>
  <si>
    <t>סיביל יורופ אג1</t>
  </si>
  <si>
    <t>סנטר אג1</t>
  </si>
  <si>
    <t>סקיילקס אג11</t>
  </si>
  <si>
    <t>סה"כ אגרות חוב קונצרניות לא צמודות</t>
  </si>
  <si>
    <t>לאומי אג178</t>
  </si>
  <si>
    <t>מזרחי הנפקות אג37</t>
  </si>
  <si>
    <t>מזרחי טפחות הנפקות אג41</t>
  </si>
  <si>
    <t>פועלים הנפקות אג29</t>
  </si>
  <si>
    <t>אלביט מערכות אג1</t>
  </si>
  <si>
    <t>בינלאומי הנפקות אג8</t>
  </si>
  <si>
    <t>לאומי התח נד יג</t>
  </si>
  <si>
    <t>פועלים הנפקות אג11</t>
  </si>
  <si>
    <t>פועלים הנפקות הת13</t>
  </si>
  <si>
    <t>רכבת ישראל  אגח א</t>
  </si>
  <si>
    <t>בזק סידרה 8</t>
  </si>
  <si>
    <t>דיסקונט התח. נד י"א</t>
  </si>
  <si>
    <t>דיסקונט מנפיקים הת5</t>
  </si>
  <si>
    <t>דיסקונט מנפיקים הת9</t>
  </si>
  <si>
    <t>וילאר     אגח ח</t>
  </si>
  <si>
    <t>חשמל אגח 26</t>
  </si>
  <si>
    <t>כיל אגח ה'</t>
  </si>
  <si>
    <t>לאומי שה201</t>
  </si>
  <si>
    <t>לאומי שה301</t>
  </si>
  <si>
    <t>מגדל הון  אגח ד</t>
  </si>
  <si>
    <t>תעשיה אוירית אג2</t>
  </si>
  <si>
    <t>תעשיה אוירית אג4</t>
  </si>
  <si>
    <t>תעשיה אוירית אגחג</t>
  </si>
  <si>
    <t>אדמה אג4</t>
  </si>
  <si>
    <t>איגוד אג"ח ח'</t>
  </si>
  <si>
    <t>אלוני חץ אג9</t>
  </si>
  <si>
    <t>בי קום אגח 3</t>
  </si>
  <si>
    <t>בי קום ב'</t>
  </si>
  <si>
    <t>גב ים אג7</t>
  </si>
  <si>
    <t>גזית גלוב אג5</t>
  </si>
  <si>
    <t>גזית גלוב אג6</t>
  </si>
  <si>
    <t>דקסיה הנפקות אג11</t>
  </si>
  <si>
    <t>דקסיה ישראל הנפקות אג9</t>
  </si>
  <si>
    <t>כללביט אג8</t>
  </si>
  <si>
    <t>מליסרון אג"ח טו</t>
  </si>
  <si>
    <t>פז נפט אג"ח ג'</t>
  </si>
  <si>
    <t>פניקס הון אג3</t>
  </si>
  <si>
    <t>קרסו אג1</t>
  </si>
  <si>
    <t>אגוד הנפקות הת18</t>
  </si>
  <si>
    <t>אלקטרה אג4</t>
  </si>
  <si>
    <t>ביג אג6</t>
  </si>
  <si>
    <t>הוט אג"ח ב'</t>
  </si>
  <si>
    <t>טמפו משקאות אג1</t>
  </si>
  <si>
    <t>ירושלים הנפקות אג8</t>
  </si>
  <si>
    <t>ישרס אג14</t>
  </si>
  <si>
    <t>נורסטאר אג8</t>
  </si>
  <si>
    <t>נכסים ובנין אג"ח 7</t>
  </si>
  <si>
    <t>נכסים ובנין אגח ט</t>
  </si>
  <si>
    <t>סלקום אג7</t>
  </si>
  <si>
    <t>סלקום אג9</t>
  </si>
  <si>
    <t>סלקום סד' ה</t>
  </si>
  <si>
    <t>פורמולה אג"ח א</t>
  </si>
  <si>
    <t>שירותי מידע</t>
  </si>
  <si>
    <t>פרטנר אג"ח ה'</t>
  </si>
  <si>
    <t>פרטנר אג4</t>
  </si>
  <si>
    <t>קרסו אג2</t>
  </si>
  <si>
    <t>שופרסל אג5</t>
  </si>
  <si>
    <t>אבגול אגח ג</t>
  </si>
  <si>
    <t>אזורים   אגח 12</t>
  </si>
  <si>
    <t>אשטרום נכסים אג9</t>
  </si>
  <si>
    <t>אשטרום קבוצה אג2</t>
  </si>
  <si>
    <t>גירון אג"ח  ה'</t>
  </si>
  <si>
    <t>דלק קבוצה אג14</t>
  </si>
  <si>
    <t>דלק קבוצה אג23</t>
  </si>
  <si>
    <t>דלק קבוצה אג31</t>
  </si>
  <si>
    <t>דמרי אגח ה</t>
  </si>
  <si>
    <t>חברה לישראל סיד' 9</t>
  </si>
  <si>
    <t>טאואר אגח ז</t>
  </si>
  <si>
    <t>מוליכים למחצה</t>
  </si>
  <si>
    <t>מגדלי תיכון אג2</t>
  </si>
  <si>
    <t>מגה אור אג5</t>
  </si>
  <si>
    <t>נייר חדרה אג6</t>
  </si>
  <si>
    <t>קבוצת דלק ט"ו</t>
  </si>
  <si>
    <t>קרדן רכב אגח ח'</t>
  </si>
  <si>
    <t>שיכון ובינוי אג7</t>
  </si>
  <si>
    <t>שלמה החזקות אג"ח ט"ו</t>
  </si>
  <si>
    <t>תדיראן הולדינג אג2</t>
  </si>
  <si>
    <t>אלבר אג14</t>
  </si>
  <si>
    <t>אלבר אג7</t>
  </si>
  <si>
    <t>אלבר אגח טו</t>
  </si>
  <si>
    <t>אפקון תעשיות אג"ח ב'</t>
  </si>
  <si>
    <t>אשדר אג4</t>
  </si>
  <si>
    <t>מבני תעש אגח טו</t>
  </si>
  <si>
    <t>אלדן תחבורה אג1</t>
  </si>
  <si>
    <t>בזן אגח ד'</t>
  </si>
  <si>
    <t>רבד אג2</t>
  </si>
  <si>
    <t>בוני תיכון אג6</t>
  </si>
  <si>
    <t>דסק"ש אג9</t>
  </si>
  <si>
    <t>אידיבי פיתוח אג10</t>
  </si>
  <si>
    <t>אפריל נדל"ן א'</t>
  </si>
  <si>
    <t>יוניטרוניק אג5</t>
  </si>
  <si>
    <t>רציו מימון אג1</t>
  </si>
  <si>
    <t>סה"כ אגרות חוב קונצרניות צמודות למט"ח</t>
  </si>
  <si>
    <t>גזית גלוב אג1</t>
  </si>
  <si>
    <t>גזית גלוב אג2</t>
  </si>
  <si>
    <t>דה לסר אג1</t>
  </si>
  <si>
    <t>בזן אג6</t>
  </si>
  <si>
    <t>סה"כ אגרות חוב קונצרניות צמודות למדד אחר</t>
  </si>
  <si>
    <t>סה"כ אג"ח קונצרני בחו"ל</t>
  </si>
  <si>
    <t>סה"כ אגרות חוב קונצרניות חברות ישראליות בחו"ל</t>
  </si>
  <si>
    <t>DEVTAM 4.435% 2020</t>
  </si>
  <si>
    <t>IL0011321663</t>
  </si>
  <si>
    <t>LSE</t>
  </si>
  <si>
    <t>בלומברג</t>
  </si>
  <si>
    <t>Commercial&amp;Professional Services</t>
  </si>
  <si>
    <t>DEVTAM 5.082 2023</t>
  </si>
  <si>
    <t>IL0011321747</t>
  </si>
  <si>
    <t>ICL 4.5  02/12/24</t>
  </si>
  <si>
    <t>IL0028102734</t>
  </si>
  <si>
    <t>Materials</t>
  </si>
  <si>
    <t>ISRELE 7.25% 15.1.19</t>
  </si>
  <si>
    <t>US46507NAA81</t>
  </si>
  <si>
    <t>Utilities</t>
  </si>
  <si>
    <t>ISRELE FLOAT 17/1/18</t>
  </si>
  <si>
    <t>XS0335444724</t>
  </si>
  <si>
    <t>PALMER AQUARE PLC</t>
  </si>
  <si>
    <t>XS0215073932</t>
  </si>
  <si>
    <t>NR3</t>
  </si>
  <si>
    <t>סה"כ אגרות חוב קונצרניות חברות זרות בחו"ל</t>
  </si>
  <si>
    <t>IFC 10% 12.06.17</t>
  </si>
  <si>
    <t>XS1000657970</t>
  </si>
  <si>
    <t>FWB</t>
  </si>
  <si>
    <t>Diversified Financials</t>
  </si>
  <si>
    <t>AAPL 2.45% 04/08/26</t>
  </si>
  <si>
    <t>US037833BZ29</t>
  </si>
  <si>
    <t>AAPL 2.85% 6/5/21</t>
  </si>
  <si>
    <t>US037833AR12</t>
  </si>
  <si>
    <t>MSFT 2.7% 12/2/2025</t>
  </si>
  <si>
    <t>US594918BB90</t>
  </si>
  <si>
    <t>Software &amp; Services</t>
  </si>
  <si>
    <t>EIBKOR 6.4% 07/08/17</t>
  </si>
  <si>
    <t>XS1092525499</t>
  </si>
  <si>
    <t>KRN</t>
  </si>
  <si>
    <t>Moody's</t>
  </si>
  <si>
    <t>EIBKOR 7% 27.6.17</t>
  </si>
  <si>
    <t>XS1081236215</t>
  </si>
  <si>
    <t>CBAAU 4.75% 10.06.20</t>
  </si>
  <si>
    <t>XS1041115137</t>
  </si>
  <si>
    <t>NOVNVX 5.125 10/2/19</t>
  </si>
  <si>
    <t>US66989GAA85</t>
  </si>
  <si>
    <t>Health Care Equipment &amp; Services</t>
  </si>
  <si>
    <t>BABA 2.5 28/11/19</t>
  </si>
  <si>
    <t>US01609WAC64</t>
  </si>
  <si>
    <t>Telecommunication Services</t>
  </si>
  <si>
    <t>BNS 2.45% 22/03/21</t>
  </si>
  <si>
    <t>US064159HM10</t>
  </si>
  <si>
    <t>TSX</t>
  </si>
  <si>
    <t>Banks</t>
  </si>
  <si>
    <t>CNOOC2.625% 5/5/2020</t>
  </si>
  <si>
    <t>US12634GAA13</t>
  </si>
  <si>
    <t>Energy</t>
  </si>
  <si>
    <t>CSCO FLOAT 1/3/19</t>
  </si>
  <si>
    <t>US17275RAQ56</t>
  </si>
  <si>
    <t>Technology Hardware &amp; Equipment</t>
  </si>
  <si>
    <t>ORCL FLOAT 08/10/19</t>
  </si>
  <si>
    <t>US68389XAY13</t>
  </si>
  <si>
    <t>DIS 1.85% 30.5.19</t>
  </si>
  <si>
    <t>US25468PDA12</t>
  </si>
  <si>
    <t>Media</t>
  </si>
  <si>
    <t>ZURNVX 4.25% 1/10/45</t>
  </si>
  <si>
    <t>XS1221106641</t>
  </si>
  <si>
    <t>Insurance</t>
  </si>
  <si>
    <t>AMXLMM 5% 10/16/19</t>
  </si>
  <si>
    <t>US02364WAX39</t>
  </si>
  <si>
    <t>AXP 2 3/8 26/05/2020</t>
  </si>
  <si>
    <t>US0258M0DT32</t>
  </si>
  <si>
    <t>FCGNZ 4.5%  30/6/21</t>
  </si>
  <si>
    <t>AU3CB0222131</t>
  </si>
  <si>
    <t>Food, Beverage &amp; Tobacco</t>
  </si>
  <si>
    <t>FRIPRO 8.25 21.04.22</t>
  </si>
  <si>
    <t>XS0620022128</t>
  </si>
  <si>
    <t>AMZN 3.3% 05.12.21</t>
  </si>
  <si>
    <t>US023135AM87</t>
  </si>
  <si>
    <t>AT&amp;T 4.6% 15.02.2021</t>
  </si>
  <si>
    <t>US00206RCZ38</t>
  </si>
  <si>
    <t>BAC 10.71% 08.03.17</t>
  </si>
  <si>
    <t>US59022CAP86</t>
  </si>
  <si>
    <t>BAC 10.75% 20.08.18</t>
  </si>
  <si>
    <t>XS0533070271</t>
  </si>
  <si>
    <t>BAC 2.65% 1/4/19</t>
  </si>
  <si>
    <t>US06051GFD60</t>
  </si>
  <si>
    <t>GS FLOAT 30/4/18</t>
  </si>
  <si>
    <t>US38141GVK74</t>
  </si>
  <si>
    <t>MO 9.7% 10/11/18</t>
  </si>
  <si>
    <t>US02209SAD53</t>
  </si>
  <si>
    <t>MS 11.5% 22.10.20</t>
  </si>
  <si>
    <t>US61747WAA71</t>
  </si>
  <si>
    <t>MS FLOAT 25/4/18</t>
  </si>
  <si>
    <t>US6174467V53</t>
  </si>
  <si>
    <t>VOD 5.45% 10/6/19</t>
  </si>
  <si>
    <t>US92857WAS98</t>
  </si>
  <si>
    <t>VZ 4.5% 15.09.20</t>
  </si>
  <si>
    <t>US92343VBQ68</t>
  </si>
  <si>
    <t>EBAY 2.6% 15/07/22</t>
  </si>
  <si>
    <t>US278642AE34</t>
  </si>
  <si>
    <t>SPRNTS 3.36% 20.9.21</t>
  </si>
  <si>
    <t>USU84697AA60</t>
  </si>
  <si>
    <t>ALPEKA 4.50 20/11/22</t>
  </si>
  <si>
    <t>USP01703AA82</t>
  </si>
  <si>
    <t>ANZ 6.75% 29/12/49</t>
  </si>
  <si>
    <t>USQ08328AA64</t>
  </si>
  <si>
    <t>ASX</t>
  </si>
  <si>
    <t>BBY 5.5 15/3/21</t>
  </si>
  <si>
    <t>US086516AL50</t>
  </si>
  <si>
    <t>CBG 5% 15/03/2023</t>
  </si>
  <si>
    <t>US12505BAA89</t>
  </si>
  <si>
    <t>Real Estate</t>
  </si>
  <si>
    <t>FLEX 4.625 15/2/20</t>
  </si>
  <si>
    <t>US33938EAQ08</t>
  </si>
  <si>
    <t>GLEINT 6.5 27.2.2019</t>
  </si>
  <si>
    <t>XS0288783979</t>
  </si>
  <si>
    <t>MOS 4.25 15/11/23</t>
  </si>
  <si>
    <t>US61945CAC73</t>
  </si>
  <si>
    <t>PEMEX 7.65% 24.11.21</t>
  </si>
  <si>
    <t>USP78625CA91</t>
  </si>
  <si>
    <t>SAFTRA 4% 26.07.2022</t>
  </si>
  <si>
    <t>XS0809571739</t>
  </si>
  <si>
    <t>JSE</t>
  </si>
  <si>
    <t>Transportation</t>
  </si>
  <si>
    <t>BAC FLT15/01/27</t>
  </si>
  <si>
    <t>US066047AA95</t>
  </si>
  <si>
    <t>BB+</t>
  </si>
  <si>
    <t>EXPE4.5%15.08.24</t>
  </si>
  <si>
    <t>US30212PAJ49</t>
  </si>
  <si>
    <t>GPS 5.95% 12/04/21</t>
  </si>
  <si>
    <t>US364760AK48</t>
  </si>
  <si>
    <t>HCA 3.75%15/03/19</t>
  </si>
  <si>
    <t>US404119BM05</t>
  </si>
  <si>
    <t>LUKOIL 4.563 4/24/23</t>
  </si>
  <si>
    <t>XS0919504562</t>
  </si>
  <si>
    <t>WDC 7.375% 01/4/2023</t>
  </si>
  <si>
    <t>USU9547KAA17</t>
  </si>
  <si>
    <t>AA 5.125 1/10/24</t>
  </si>
  <si>
    <t>US013817AW16</t>
  </si>
  <si>
    <t>BB</t>
  </si>
  <si>
    <t>AALLN 5.75% 27.11.18</t>
  </si>
  <si>
    <t>AU0000AQMHA7</t>
  </si>
  <si>
    <t>EDF 5 1/4 12/29/49</t>
  </si>
  <si>
    <t>USF2893TAF33</t>
  </si>
  <si>
    <t>BEEFBZ 8.75 29/12/49</t>
  </si>
  <si>
    <t>USL6401PAD52</t>
  </si>
  <si>
    <t>Food &amp; Staples Retailing</t>
  </si>
  <si>
    <t>BB-</t>
  </si>
  <si>
    <t>URI 5.75% 15.11.2024</t>
  </si>
  <si>
    <t>US911365BB94</t>
  </si>
  <si>
    <t>Consumer Services</t>
  </si>
  <si>
    <t>B+</t>
  </si>
  <si>
    <t>4. מניות</t>
  </si>
  <si>
    <t>סה"כ מניות</t>
  </si>
  <si>
    <t>סה"כ מניות בישראל</t>
  </si>
  <si>
    <t>סה"כ מניות תל אביב 25</t>
  </si>
  <si>
    <t>בינלאומי</t>
  </si>
  <si>
    <t>דיסקונט</t>
  </si>
  <si>
    <t>לאומי</t>
  </si>
  <si>
    <t>מזרחי טפחות</t>
  </si>
  <si>
    <t>פועלים</t>
  </si>
  <si>
    <t>גזית גלוב</t>
  </si>
  <si>
    <t>מליסרון</t>
  </si>
  <si>
    <t>עזריאלי</t>
  </si>
  <si>
    <t>פרוטרום</t>
  </si>
  <si>
    <t>שטראוס עלית</t>
  </si>
  <si>
    <t>אלביט מערכות</t>
  </si>
  <si>
    <t>נייס</t>
  </si>
  <si>
    <t>טבע</t>
  </si>
  <si>
    <t>כיל</t>
  </si>
  <si>
    <t>מיילן</t>
  </si>
  <si>
    <t>פריגו</t>
  </si>
  <si>
    <t>דלק קבוצה</t>
  </si>
  <si>
    <t>חברה לישראל</t>
  </si>
  <si>
    <t>פז נפט</t>
  </si>
  <si>
    <t>אבנר יהש</t>
  </si>
  <si>
    <t>דלק קדוחים</t>
  </si>
  <si>
    <t>ישראמקו</t>
  </si>
  <si>
    <t>בזק</t>
  </si>
  <si>
    <t>אופקו</t>
  </si>
  <si>
    <t>אורמת טכנו</t>
  </si>
  <si>
    <t>קלינטק</t>
  </si>
  <si>
    <t>סה"כ מניות תל אביב 75</t>
  </si>
  <si>
    <t>פיבי</t>
  </si>
  <si>
    <t>איידיאיי ביטוח</t>
  </si>
  <si>
    <t>ביטוח ישיר</t>
  </si>
  <si>
    <t>הראל</t>
  </si>
  <si>
    <t>כלל ביטוח</t>
  </si>
  <si>
    <t>מגדל ביטוח</t>
  </si>
  <si>
    <t>מנורה מבטחים</t>
  </si>
  <si>
    <t>פניקס</t>
  </si>
  <si>
    <t>דלק רכב</t>
  </si>
  <si>
    <t>רמי לוי</t>
  </si>
  <si>
    <t>שופרסל</t>
  </si>
  <si>
    <t>איידיאו אירופה</t>
  </si>
  <si>
    <t>חילן טק</t>
  </si>
  <si>
    <t>מטריקס</t>
  </si>
  <si>
    <t>אירפורט סיטי</t>
  </si>
  <si>
    <t>אלוני חץ</t>
  </si>
  <si>
    <t>אלרוב נדלן ומלונאות</t>
  </si>
  <si>
    <t>אמות</t>
  </si>
  <si>
    <t>אפריקה נכס</t>
  </si>
  <si>
    <t>ביג</t>
  </si>
  <si>
    <t>בראק אן וי</t>
  </si>
  <si>
    <t>גב ים</t>
  </si>
  <si>
    <t>כלכלית י-ם</t>
  </si>
  <si>
    <t>מבני תעשיה</t>
  </si>
  <si>
    <t>נורסטאר החזקות</t>
  </si>
  <si>
    <t>נכסים בנין</t>
  </si>
  <si>
    <t>רבוע כחול נדל"ן</t>
  </si>
  <si>
    <t>ריט1</t>
  </si>
  <si>
    <t>שיכון ובינוי</t>
  </si>
  <si>
    <t>קרור 1</t>
  </si>
  <si>
    <t>דלתא גליל</t>
  </si>
  <si>
    <t>אופנה והלבשה</t>
  </si>
  <si>
    <t>פוקס</t>
  </si>
  <si>
    <t>אינרום</t>
  </si>
  <si>
    <t>שפיר הנדסה</t>
  </si>
  <si>
    <t>גילת</t>
  </si>
  <si>
    <t>טאואר</t>
  </si>
  <si>
    <t>מיטרוניקס</t>
  </si>
  <si>
    <t>נובה</t>
  </si>
  <si>
    <t>בזן</t>
  </si>
  <si>
    <t>פלסאון תעשיות</t>
  </si>
  <si>
    <t>אבגול</t>
  </si>
  <si>
    <t>אלקו החזקות</t>
  </si>
  <si>
    <t>מבטח שמיר</t>
  </si>
  <si>
    <t>קנון</t>
  </si>
  <si>
    <t>רציו יהש</t>
  </si>
  <si>
    <t>בי קום</t>
  </si>
  <si>
    <t>חלל</t>
  </si>
  <si>
    <t>סלקום</t>
  </si>
  <si>
    <t>פרטנר</t>
  </si>
  <si>
    <t>מזור רובוטיקה</t>
  </si>
  <si>
    <t>אבוגן</t>
  </si>
  <si>
    <t>ביוטכנולוגיה</t>
  </si>
  <si>
    <t>אנרגיקס</t>
  </si>
  <si>
    <t>סה"כ מניות מניות היתר</t>
  </si>
  <si>
    <t>אלקטרה  צריכה</t>
  </si>
  <si>
    <t>ויליפוד</t>
  </si>
  <si>
    <t>ויקטורי</t>
  </si>
  <si>
    <t>מדטכניקה</t>
  </si>
  <si>
    <t>סקיילקס</t>
  </si>
  <si>
    <t>עמיר שיווק</t>
  </si>
  <si>
    <t>אלוט תקשורת</t>
  </si>
  <si>
    <t>אמת</t>
  </si>
  <si>
    <t>בבילון</t>
  </si>
  <si>
    <t>מטי</t>
  </si>
  <si>
    <t>אביב ארלון בע"מ</t>
  </si>
  <si>
    <t>אדגר</t>
  </si>
  <si>
    <t>אלביט הדמיה</t>
  </si>
  <si>
    <t>אלקטרה נדלן</t>
  </si>
  <si>
    <t>אפריקה</t>
  </si>
  <si>
    <t>אפריקה זכויות</t>
  </si>
  <si>
    <t>אשטרום קב</t>
  </si>
  <si>
    <t>מהדרין</t>
  </si>
  <si>
    <t>מירלנד</t>
  </si>
  <si>
    <t>מישורים</t>
  </si>
  <si>
    <t>פלאזה סנטר</t>
  </si>
  <si>
    <t>רבד</t>
  </si>
  <si>
    <t>אפריקה תעשיות</t>
  </si>
  <si>
    <t>המלט</t>
  </si>
  <si>
    <t>עשות</t>
  </si>
  <si>
    <t>אפקון החזקות</t>
  </si>
  <si>
    <t>ארד</t>
  </si>
  <si>
    <t>מר</t>
  </si>
  <si>
    <t>פריורטק</t>
  </si>
  <si>
    <t>שנפ</t>
  </si>
  <si>
    <t>קמהדע</t>
  </si>
  <si>
    <t>רבל</t>
  </si>
  <si>
    <t>נייר חדרה</t>
  </si>
  <si>
    <t>על בד</t>
  </si>
  <si>
    <t>פוטומדיקס</t>
  </si>
  <si>
    <t>דסק"ש</t>
  </si>
  <si>
    <t>הכשרה הישוב</t>
  </si>
  <si>
    <t>קמן אחזקות</t>
  </si>
  <si>
    <t>קרדן ישראל</t>
  </si>
  <si>
    <t>דלק אנרגיה</t>
  </si>
  <si>
    <t>הכשרה אלפ זכות 2</t>
  </si>
  <si>
    <t>הכשרה אנרגיה</t>
  </si>
  <si>
    <t>ביוליין</t>
  </si>
  <si>
    <t>בריינסוויי</t>
  </si>
  <si>
    <t>כלל ביוטכנולוגיה</t>
  </si>
  <si>
    <t>מדיקל</t>
  </si>
  <si>
    <t>פרוטליקס</t>
  </si>
  <si>
    <t>סה"כ אופציות Call 001 long</t>
  </si>
  <si>
    <t>סה"כ אופציות Call 001 short</t>
  </si>
  <si>
    <t>סה"כ מניות בחו"ל</t>
  </si>
  <si>
    <t>סה"כ מניות חברות ישראליות בחו"ל</t>
  </si>
  <si>
    <t>MEDIVISION LIM-STRIP</t>
  </si>
  <si>
    <t>BE0005578498</t>
  </si>
  <si>
    <t>Pharmaceuticals &amp; Biotechnology</t>
  </si>
  <si>
    <t>TEVA PHARMACEUTICAL-SP ADR</t>
  </si>
  <si>
    <t>US8816242098</t>
  </si>
  <si>
    <t>ARZAN</t>
  </si>
  <si>
    <t>IL0010828098</t>
  </si>
  <si>
    <t>CHECK POINT SOFWARE</t>
  </si>
  <si>
    <t>IL0010824113</t>
  </si>
  <si>
    <t>CYBERARK SOFTWARE LTD</t>
  </si>
  <si>
    <t>IL0011334468</t>
  </si>
  <si>
    <t>ELLOMAY CAPITAL</t>
  </si>
  <si>
    <t>IL0010826357</t>
  </si>
  <si>
    <t>LANGUAGEWARE NET CO</t>
  </si>
  <si>
    <t>IL0010827835</t>
  </si>
  <si>
    <t>SIMPLAYER COM LTD</t>
  </si>
  <si>
    <t>IL0010828908</t>
  </si>
  <si>
    <t>TVG TECH</t>
  </si>
  <si>
    <t>IL0010827009</t>
  </si>
  <si>
    <t>ELBIT V.SYS-RESTR</t>
  </si>
  <si>
    <t>IL0010824527</t>
  </si>
  <si>
    <t>SUPERCOM LTD</t>
  </si>
  <si>
    <t>IL0010830961</t>
  </si>
  <si>
    <t>סה"כ מניות חברות זרות בחו"ל</t>
  </si>
  <si>
    <t>AFI DEVELOPMENT</t>
  </si>
  <si>
    <t>US00106J2006</t>
  </si>
  <si>
    <t>3M COMPANY</t>
  </si>
  <si>
    <t>US88579Y1010</t>
  </si>
  <si>
    <t>LDK SOLAR CO</t>
  </si>
  <si>
    <t>US50183L1070</t>
  </si>
  <si>
    <t>MIRLAND (MLD LN</t>
  </si>
  <si>
    <t>CY0126912118</t>
  </si>
  <si>
    <t>PETROLEO BRASILEIRO-SPON ADR</t>
  </si>
  <si>
    <t>US71654V4086</t>
  </si>
  <si>
    <t>KID BRANDS INC</t>
  </si>
  <si>
    <t>US49375T1007</t>
  </si>
  <si>
    <t>Capital Goods</t>
  </si>
  <si>
    <t>MIDDLEBY CORP</t>
  </si>
  <si>
    <t>US5962781010</t>
  </si>
  <si>
    <t>AERCAP HOLDINGS N.V</t>
  </si>
  <si>
    <t>NL0000687663</t>
  </si>
  <si>
    <t>MOBILEYE NV</t>
  </si>
  <si>
    <t>NL0010831061</t>
  </si>
  <si>
    <t>GENERAL MOTORS CO</t>
  </si>
  <si>
    <t>US37045V1008</t>
  </si>
  <si>
    <t>Automobiles &amp; Components</t>
  </si>
  <si>
    <t>PVH CORP</t>
  </si>
  <si>
    <t>US6936561009</t>
  </si>
  <si>
    <t>Consumer Durables &amp; Apparel</t>
  </si>
  <si>
    <t>SYNAPTICS INC</t>
  </si>
  <si>
    <t>US87157D1090</t>
  </si>
  <si>
    <t>COTY INC-CL A</t>
  </si>
  <si>
    <t>US2220702037</t>
  </si>
  <si>
    <t>Household &amp; Personal Products</t>
  </si>
  <si>
    <t>PROCTER &amp; GAMBLE CO/THE</t>
  </si>
  <si>
    <t>US7427181091</t>
  </si>
  <si>
    <t>MEDTRONIC PLC</t>
  </si>
  <si>
    <t>IE00BTN1Y115</t>
  </si>
  <si>
    <t>PFIZER INC</t>
  </si>
  <si>
    <t>US7170811035</t>
  </si>
  <si>
    <t>MEDIVISION LIMIT</t>
  </si>
  <si>
    <t>IL0010846314</t>
  </si>
  <si>
    <t>SANOFI C</t>
  </si>
  <si>
    <t>US80105N1138</t>
  </si>
  <si>
    <t>BANCO BRADESCO</t>
  </si>
  <si>
    <t>US0594603039</t>
  </si>
  <si>
    <t>GOLDMAN SACHS</t>
  </si>
  <si>
    <t>US38141G1040</t>
  </si>
  <si>
    <t>MASTERCARD INC-CLASS A</t>
  </si>
  <si>
    <t>US57636Q1040</t>
  </si>
  <si>
    <t>AIG- AMERICAN INTERNATIONAL GROUP</t>
  </si>
  <si>
    <t>US0268747849</t>
  </si>
  <si>
    <t>CY0101380612</t>
  </si>
  <si>
    <t>BAIDU.COM</t>
  </si>
  <si>
    <t>US0567521085</t>
  </si>
  <si>
    <t>MICROSOFT</t>
  </si>
  <si>
    <t>US5949181045</t>
  </si>
  <si>
    <t>ORACLE CORPORATION</t>
  </si>
  <si>
    <t>US68389X1054</t>
  </si>
  <si>
    <t>SALEFORCE.COM INC</t>
  </si>
  <si>
    <t>US79466L3024</t>
  </si>
  <si>
    <t>VISA INC</t>
  </si>
  <si>
    <t>US92826C8394</t>
  </si>
  <si>
    <t>APPLE INC</t>
  </si>
  <si>
    <t>US0378331005</t>
  </si>
  <si>
    <t>CISCO SYSTEMS INC</t>
  </si>
  <si>
    <t>US17275R1023</t>
  </si>
  <si>
    <t>INTEL CORP</t>
  </si>
  <si>
    <t>US4581401001</t>
  </si>
  <si>
    <t>Semiconductors &amp; Semiconductor Equipment</t>
  </si>
  <si>
    <t>ALIBABA GROUP</t>
  </si>
  <si>
    <t>US01609W1027</t>
  </si>
  <si>
    <t>PALO ALTO</t>
  </si>
  <si>
    <t>US6974351057</t>
  </si>
  <si>
    <t>UNIVERSAL COMM SYS</t>
  </si>
  <si>
    <t>US0092291055</t>
  </si>
  <si>
    <t>GILEAD SCIENCES INC</t>
  </si>
  <si>
    <t>US3755581036</t>
  </si>
  <si>
    <t>AMERICAN  EXPRESS</t>
  </si>
  <si>
    <t>US0258161092</t>
  </si>
  <si>
    <t>BANK OF AMERICA</t>
  </si>
  <si>
    <t>US0605051046</t>
  </si>
  <si>
    <t>CITIGROUP INC</t>
  </si>
  <si>
    <t>US1729674242</t>
  </si>
  <si>
    <t>WELLS FARGO COM</t>
  </si>
  <si>
    <t>US9497461015</t>
  </si>
  <si>
    <t>FACEBOOK</t>
  </si>
  <si>
    <t>US30303M1027</t>
  </si>
  <si>
    <t>FIREEYE INC</t>
  </si>
  <si>
    <t>US31816Q1013</t>
  </si>
  <si>
    <t>GOOGLE INC-CL A</t>
  </si>
  <si>
    <t>US02079K3059</t>
  </si>
  <si>
    <t>GOOGLE INC-CL C</t>
  </si>
  <si>
    <t>US02079K1079</t>
  </si>
  <si>
    <t>AT&amp;T INC</t>
  </si>
  <si>
    <t>US00206R1023</t>
  </si>
  <si>
    <t>5. תעודות סל</t>
  </si>
  <si>
    <t>סה"כ תעודות סל</t>
  </si>
  <si>
    <t>סה"כ תעודות סל בישראל</t>
  </si>
  <si>
    <t>סה"כ תעודות סל שמחקות מדדי מניות בישראל</t>
  </si>
  <si>
    <t>הראל סל תא100</t>
  </si>
  <si>
    <t>מדדי מניות בארץ</t>
  </si>
  <si>
    <t>פסגות סל יתר 50 סד1</t>
  </si>
  <si>
    <t>פסגות סל תא100</t>
  </si>
  <si>
    <t>פסגות סל תא25</t>
  </si>
  <si>
    <t>פסגות סל תא75</t>
  </si>
  <si>
    <t>קסם בנקים</t>
  </si>
  <si>
    <t>קסם יתר 120</t>
  </si>
  <si>
    <t>קסם יתר 50</t>
  </si>
  <si>
    <t>קסם נדלן 15</t>
  </si>
  <si>
    <t>קסם ת"א 100</t>
  </si>
  <si>
    <t>קסם ת"א 75</t>
  </si>
  <si>
    <t>קסם תא 25</t>
  </si>
  <si>
    <t>תכלית יתר 120 REINVE</t>
  </si>
  <si>
    <t>תכלית תא 100</t>
  </si>
  <si>
    <t>תכלית תא 25</t>
  </si>
  <si>
    <t>תכלית תא75</t>
  </si>
  <si>
    <t>סה"כ תעודות סל שמחקות מדדי מניות בחו"ל</t>
  </si>
  <si>
    <t>אינדקס יורוסטוקס 50 שקלי</t>
  </si>
  <si>
    <t>מדדי מניות בחול</t>
  </si>
  <si>
    <t>הראל סל 600 Stoxx Eu שקלי</t>
  </si>
  <si>
    <t>הראל סל s&amp;p 500 שקלי</t>
  </si>
  <si>
    <t>הראל סל טכנולוגיה אר</t>
  </si>
  <si>
    <t>הראל סל סקטורים ארה"ב שקלי</t>
  </si>
  <si>
    <t>פסגות סל 100 FTSE</t>
  </si>
  <si>
    <t>פסגות סל 100 nasdaq סד'2</t>
  </si>
  <si>
    <t>פסגות סל 500S&amp;P</t>
  </si>
  <si>
    <t>פסגות סל 600 STOXX EUROPE מנוטרלת מט</t>
  </si>
  <si>
    <t>פסגות סל S&amp;P Health שיקלי</t>
  </si>
  <si>
    <t>פסגות סל SP TECHNOLOGY ארה"ב</t>
  </si>
  <si>
    <t>פסגות סל דאקס</t>
  </si>
  <si>
    <t>פסגות סל דאקס שקלי</t>
  </si>
  <si>
    <t>פסגות סל נאסדק 100</t>
  </si>
  <si>
    <t>פסגות סל נאסדק 100 ש</t>
  </si>
  <si>
    <t>פסגות סל שקלי 500 S&amp;</t>
  </si>
  <si>
    <t>קסם 500 S&amp;P</t>
  </si>
  <si>
    <t>קסם S&amp;P 500 Low vol High שקלי</t>
  </si>
  <si>
    <t>קסם דאקס</t>
  </si>
  <si>
    <t>קסם דאקס שקלי</t>
  </si>
  <si>
    <t>קסם יורוסטוקס 50</t>
  </si>
  <si>
    <t>קסם יורוסטוקס 50 שקל</t>
  </si>
  <si>
    <t>קסם נאסדק 100</t>
  </si>
  <si>
    <t>קסם נאסדק 100 שקלי T</t>
  </si>
  <si>
    <t>קסם ניקיי 225 שקלי</t>
  </si>
  <si>
    <t>קסם פוטסי</t>
  </si>
  <si>
    <t>תכלית 500S&amp;P</t>
  </si>
  <si>
    <t>תכלית BRIC שקלי</t>
  </si>
  <si>
    <t>תכלית אינדקס דאקס שק</t>
  </si>
  <si>
    <t>תכלית אינדקס נאסדק 100 שקלי</t>
  </si>
  <si>
    <t>תכלית גרמניה 30 DAX שקלי</t>
  </si>
  <si>
    <t>תכלית דאקס</t>
  </si>
  <si>
    <t>תכלית הודו REINVEST</t>
  </si>
  <si>
    <t>תכלית נאסדק</t>
  </si>
  <si>
    <t>תכלית נאסדק 100 שקלי</t>
  </si>
  <si>
    <t>תכלית צרפת 40 CAC (שקלי)</t>
  </si>
  <si>
    <t>תכלית ראסל 2000 שקלי</t>
  </si>
  <si>
    <t>תכלית שקלי 500S&amp;P</t>
  </si>
  <si>
    <t>סה"כ תעודות סל שמחקות מדדים אחרים בישראל</t>
  </si>
  <si>
    <t>הראל סל תל בונד 60</t>
  </si>
  <si>
    <t>מדדים אחרים בארץ</t>
  </si>
  <si>
    <t>מבט תל בונד 60</t>
  </si>
  <si>
    <t>פסגות סל בונד 20</t>
  </si>
  <si>
    <t>פסגות סל בונד 60</t>
  </si>
  <si>
    <t>פסגות סל תל בונד שקלי סד2</t>
  </si>
  <si>
    <t>קסם תל בונד 60</t>
  </si>
  <si>
    <t>קסם תל בונד שקלי</t>
  </si>
  <si>
    <t>תכלית תל בונד 60 REI</t>
  </si>
  <si>
    <t>תכלית תל בונד שקלי</t>
  </si>
  <si>
    <t>סה"כ תעודות סל שמחקות מדדים אחרים בחו"ל</t>
  </si>
  <si>
    <t>פסגות סל בונד עולמי</t>
  </si>
  <si>
    <t>מדדים אחרים בחול</t>
  </si>
  <si>
    <t>קסם 30 IBOXX $ LIQUI</t>
  </si>
  <si>
    <t>סה"כ תעודות סל אחר</t>
  </si>
  <si>
    <t>תכלית דולר אג1</t>
  </si>
  <si>
    <t>תכלית זהב</t>
  </si>
  <si>
    <t>סה"כ תעודות סל short</t>
  </si>
  <si>
    <t>סה"כ תעודות סל בחו"ל</t>
  </si>
  <si>
    <t>סה"כ תעודות סל שמחקות מדדי מניות</t>
  </si>
  <si>
    <t>CONSUMER DISCRETIONARY</t>
  </si>
  <si>
    <t>US81369Y4070</t>
  </si>
  <si>
    <t>DB HARVEST CSI 300 CHINA A</t>
  </si>
  <si>
    <t>US2330518794</t>
  </si>
  <si>
    <t>ENERGY S.SECTOR SPDR</t>
  </si>
  <si>
    <t>US81369Y5069</t>
  </si>
  <si>
    <t>FINANCIAL SELECT SEC</t>
  </si>
  <si>
    <t>US81369Y6059</t>
  </si>
  <si>
    <t>FIRST TRUST DJ INTERNET INDEX</t>
  </si>
  <si>
    <t>US33733E3027</t>
  </si>
  <si>
    <t>GUGGENHEIM S&amp;P EQUAL WEI</t>
  </si>
  <si>
    <t>US78355W1062</t>
  </si>
  <si>
    <t>HEALTH CARE SELECT S</t>
  </si>
  <si>
    <t>US81369Y2090</t>
  </si>
  <si>
    <t>INDUSTRIAL SELECT</t>
  </si>
  <si>
    <t>US81369Y7040</t>
  </si>
  <si>
    <t>US4642871846</t>
  </si>
  <si>
    <t>ISHARES CHINA LARGE CAP</t>
  </si>
  <si>
    <t>ISHARES CORE DAX UCITS ETF D</t>
  </si>
  <si>
    <t>DE0005933931</t>
  </si>
  <si>
    <t>ISHARES CORE HIGH DIVIDEND</t>
  </si>
  <si>
    <t>US46429B6636</t>
  </si>
  <si>
    <t>ISHARES CORE RUSSELL U.S VALUE</t>
  </si>
  <si>
    <t>US4642876639</t>
  </si>
  <si>
    <t>US46434V8862</t>
  </si>
  <si>
    <t>ISHARES CURR HEDGED MSCI JAPAN</t>
  </si>
  <si>
    <t>ISHARES DJ TRANSPORT AVG</t>
  </si>
  <si>
    <t>US4642871929</t>
  </si>
  <si>
    <t>ISHARES EUROPE ETF</t>
  </si>
  <si>
    <t>US4642878619</t>
  </si>
  <si>
    <t>ISHARES MSCI BRAZIL</t>
  </si>
  <si>
    <t>US4642864007</t>
  </si>
  <si>
    <t>ISHARES MSCI EMERGING MARKET</t>
  </si>
  <si>
    <t>US4642872349</t>
  </si>
  <si>
    <t>ISHARES MSCI GERMANY ETF</t>
  </si>
  <si>
    <t>US4642868065</t>
  </si>
  <si>
    <t>ISHARES MSCI ITALY</t>
  </si>
  <si>
    <t>US4642868552</t>
  </si>
  <si>
    <t>ISHARES MSCI JAPAN ETF</t>
  </si>
  <si>
    <t>US4642868487</t>
  </si>
  <si>
    <t>ISHARES MSCI MEXICO</t>
  </si>
  <si>
    <t>US4642868222</t>
  </si>
  <si>
    <t>ISHARES MSCI UK</t>
  </si>
  <si>
    <t>US46434V5488</t>
  </si>
  <si>
    <t>ISHARES NASDAQ BIOTECH</t>
  </si>
  <si>
    <t>US4642875565</t>
  </si>
  <si>
    <t>ISHARES RUSSEL 1000</t>
  </si>
  <si>
    <t>US4642876225</t>
  </si>
  <si>
    <t>ISHARES RUSSELL 2000</t>
  </si>
  <si>
    <t>US4642876555</t>
  </si>
  <si>
    <t>ISHR STOXX EUR 600 BANKS</t>
  </si>
  <si>
    <t>DE000A0F5UJ7</t>
  </si>
  <si>
    <t>MATERIALS SELECT SECTOR SPDR</t>
  </si>
  <si>
    <t>US81369Y1001</t>
  </si>
  <si>
    <t>NERGY S.SECTOR SPDR</t>
  </si>
  <si>
    <t>US73935X7993</t>
  </si>
  <si>
    <t>POWERSHARES DYN  PHARMACEUTIC</t>
  </si>
  <si>
    <t>POWERSHARES QQQ</t>
  </si>
  <si>
    <t>US73935A1043</t>
  </si>
  <si>
    <t>REAL ESTATE SELECT SECTOR SPDR</t>
  </si>
  <si>
    <t>US81369Y8600</t>
  </si>
  <si>
    <t>SHARES S$P 100 INDE</t>
  </si>
  <si>
    <t>US4642871010</t>
  </si>
  <si>
    <t>SPDR S&amp;P 500 ETF TRUST</t>
  </si>
  <si>
    <t>US78462F1030</t>
  </si>
  <si>
    <t>SPDR S&amp;P CHINA</t>
  </si>
  <si>
    <t>US78463X4007</t>
  </si>
  <si>
    <t>TECHNOLOGY SELECT SECT SPDR</t>
  </si>
  <si>
    <t>US81369Y8030</t>
  </si>
  <si>
    <t>UTILITIES SELECT SECTOR</t>
  </si>
  <si>
    <t>US81369Y8865</t>
  </si>
  <si>
    <t>US92189F6925</t>
  </si>
  <si>
    <t>VANECK VECTORS PHARMACEUTICAL ETF</t>
  </si>
  <si>
    <t>VANGUARD DIVIDEND APPREC</t>
  </si>
  <si>
    <t>US9219088443</t>
  </si>
  <si>
    <t>VANGUARD FINANCIALS ETF</t>
  </si>
  <si>
    <t>US92204A4058</t>
  </si>
  <si>
    <t>VANGUARD MSCI EUROP ETF</t>
  </si>
  <si>
    <t>US9220428745</t>
  </si>
  <si>
    <t>VANGUARD S&amp;P 500 ETF</t>
  </si>
  <si>
    <t>US9229083632</t>
  </si>
  <si>
    <t>VANGUARD TELECOMMUNICATION SERVICES</t>
  </si>
  <si>
    <t>US92204A8844</t>
  </si>
  <si>
    <t>VANGUARD VALUE</t>
  </si>
  <si>
    <t>US9229087443</t>
  </si>
  <si>
    <t>Vanguard FTSE Emerging Markets ETF</t>
  </si>
  <si>
    <t>US9220428588</t>
  </si>
  <si>
    <t>US97717W8516</t>
  </si>
  <si>
    <t>WISDOM TREE JAPAN HEDGED</t>
  </si>
  <si>
    <t>US97717X7012</t>
  </si>
  <si>
    <t>WISDOME TREE EUROPE HEDGED EQU</t>
  </si>
  <si>
    <t>US97717W2089</t>
  </si>
  <si>
    <t>WISDOMTREE HIGH DIVIDEND FD</t>
  </si>
  <si>
    <t>סה"כ תעודות סל שמחקות מדדים אחרים</t>
  </si>
  <si>
    <t>BARCLAYS CAPITAL CON</t>
  </si>
  <si>
    <t>US78464A3591</t>
  </si>
  <si>
    <t>IBOXX$INVESTMENT-LQD</t>
  </si>
  <si>
    <t>US4642872422</t>
  </si>
  <si>
    <t>ISHARES 1-3 YEAR TREASURY BO</t>
  </si>
  <si>
    <t>US4642874576</t>
  </si>
  <si>
    <t>ISHARES 3-7 YEAR TREASURY BO</t>
  </si>
  <si>
    <t>US46428866122</t>
  </si>
  <si>
    <t>US4642872265</t>
  </si>
  <si>
    <t>ISHARES BARCLAYS AGGREGATE BOND</t>
  </si>
  <si>
    <t>ISHARES FLOATING RATE BOND</t>
  </si>
  <si>
    <t>US46429B6552</t>
  </si>
  <si>
    <t>SPDR BARCLAYS CAPITA</t>
  </si>
  <si>
    <t>US78464A4177</t>
  </si>
  <si>
    <t>VANGUARD TOTAL BOND MARKET</t>
  </si>
  <si>
    <t>US9219378356</t>
  </si>
  <si>
    <t>VANECK VECTORS GOLD MINERS ETF</t>
  </si>
  <si>
    <t>US92189F1066</t>
  </si>
  <si>
    <t>6. קרנות נאמנות</t>
  </si>
  <si>
    <t>סה"כ תעודות השתתפות בקרנות נאמנות</t>
  </si>
  <si>
    <t>סה"כ קרנות נאמנות בישראל</t>
  </si>
  <si>
    <t>סה"כ תעודות השתתפות בקרנות נאמנות בישראל</t>
  </si>
  <si>
    <t>סה"כ קרנות נאמנות בחו"ל</t>
  </si>
  <si>
    <t>סה"כ תעודות השתתפות בקרנות נאמנות בחו"ל</t>
  </si>
  <si>
    <t>ROBECO HIGH YIELD BONDS</t>
  </si>
  <si>
    <t>LU0398248921</t>
  </si>
  <si>
    <t>אג"ח קונצרני</t>
  </si>
  <si>
    <t>פנימי</t>
  </si>
  <si>
    <t>STONE HARBOR EMERGING MARKETS</t>
  </si>
  <si>
    <t>IE00B3RGB191</t>
  </si>
  <si>
    <t>EDMOND DE ROTHSCHILD EMERGING BOND- RUSD</t>
  </si>
  <si>
    <t>LU1160351620</t>
  </si>
  <si>
    <t>B-</t>
  </si>
  <si>
    <t>edmond de rothschid emerging bonds</t>
  </si>
  <si>
    <t>LU1160351976</t>
  </si>
  <si>
    <t>BLACKROCK INCOME TRUST</t>
  </si>
  <si>
    <t>US09247F1003</t>
  </si>
  <si>
    <t>COMGEST GROWTH EUROPE</t>
  </si>
  <si>
    <t>IE00B5WN3467</t>
  </si>
  <si>
    <t>מניות</t>
  </si>
  <si>
    <t>EDMOND DE ROTHSCHILD INDIA</t>
  </si>
  <si>
    <t>FR0012188399</t>
  </si>
  <si>
    <t>CAC</t>
  </si>
  <si>
    <t>FRANKLIN TEMPELTON INVESTMENT FUNDS</t>
  </si>
  <si>
    <t>LU0390136223</t>
  </si>
  <si>
    <t>KOTAK -INDIAN GROWTH FUND</t>
  </si>
  <si>
    <t>LU0487136375</t>
  </si>
  <si>
    <t>ROBECO EUROPEAN CONSERVATIVE EQUITIES</t>
  </si>
  <si>
    <t>LU0312333569</t>
  </si>
  <si>
    <t>THREADNEEDLE EUROPEAN SELECT FUND</t>
  </si>
  <si>
    <t>GB0030810138</t>
  </si>
  <si>
    <t>THREADNEEDLE UK GROWTH &amp; INCOME FUND</t>
  </si>
  <si>
    <t>GB0001647246</t>
  </si>
  <si>
    <t>7. כתבי אופציה</t>
  </si>
  <si>
    <t>סה"כ כתבי אופציה</t>
  </si>
  <si>
    <t>סה"כ כתבי אופציה בישראל</t>
  </si>
  <si>
    <t>אנרגיקס כתב אופציה</t>
  </si>
  <si>
    <t>דסק"ש אופ' 4</t>
  </si>
  <si>
    <t>דסק"ש אופ' 5</t>
  </si>
  <si>
    <t>דסק"ש אופ' 6</t>
  </si>
  <si>
    <t>סה"כ כתבי אופציה בחו"ל</t>
  </si>
  <si>
    <t>8. אופציות</t>
  </si>
  <si>
    <t>סה"כ אופציות</t>
  </si>
  <si>
    <t>סה"כ אופציות בישראל</t>
  </si>
  <si>
    <t>סה"כ אופציות על מדדים כולל מניות</t>
  </si>
  <si>
    <t>C 1440 JAN</t>
  </si>
  <si>
    <t>ל.ר.</t>
  </si>
  <si>
    <t>C 1460 JAN</t>
  </si>
  <si>
    <t>P 1440 JAN</t>
  </si>
  <si>
    <t>P 1460 JAN</t>
  </si>
  <si>
    <t>סה"כ אופציות ₪/מט"ח</t>
  </si>
  <si>
    <t>סה"כ אופציות על ריבית</t>
  </si>
  <si>
    <t>סה"כ אופציות אחרות</t>
  </si>
  <si>
    <t>סה"כ אופציות בחו"ל</t>
  </si>
  <si>
    <t>סה"כ אופציות על מטבעות</t>
  </si>
  <si>
    <t>סה"כ אופציות על סחורות</t>
  </si>
  <si>
    <t>9. חוזים עתידיים</t>
  </si>
  <si>
    <t>סה"כ חוזים עתידיים</t>
  </si>
  <si>
    <t>סה"כ חוזים עתידיים בישראל</t>
  </si>
  <si>
    <t>סה"כ חוזים עתידיים ישראל</t>
  </si>
  <si>
    <t>סה"כ חוזים עתידיים בחו"ל</t>
  </si>
  <si>
    <t>סה"כ חוזים עתידיים חו"ל</t>
  </si>
  <si>
    <t>FT NIKK225 03/2017</t>
  </si>
  <si>
    <t>NXH7</t>
  </si>
  <si>
    <t>FT NIKK225 03/2017 התחייבות</t>
  </si>
  <si>
    <t>S&amp;P 500 03/17</t>
  </si>
  <si>
    <t>SPH7</t>
  </si>
  <si>
    <t>S&amp;P 500 03/17 התחייבות</t>
  </si>
  <si>
    <t>STOXX EUROPE 600 03/17</t>
  </si>
  <si>
    <t>SXOH7</t>
  </si>
  <si>
    <t>STOXX EUROPE 600 03/17 התחייבות</t>
  </si>
  <si>
    <t>10. מוצרים מובנים</t>
  </si>
  <si>
    <t>נכס בסיס</t>
  </si>
  <si>
    <t>סה"כ מוצרים מובנים</t>
  </si>
  <si>
    <t>סה"כ מוצרים מובנים בישראל</t>
  </si>
  <si>
    <t>סה"כ מוצרים מובנים קרן מובטחת</t>
  </si>
  <si>
    <t>הראל סל מטבע דולר או</t>
  </si>
  <si>
    <t>פסגות סל פקדון דולר</t>
  </si>
  <si>
    <t>קסם פיקדון אירו</t>
  </si>
  <si>
    <t>תכלית דולר REINVEST</t>
  </si>
  <si>
    <t>סה"כ מוצרים מובנים קרן לא מובטחת</t>
  </si>
  <si>
    <t>סה"כ מוצרים מאוגחים: שכבת חוב (Tranch) בדרוג AA- ומעלה</t>
  </si>
  <si>
    <t>סה"כ מוצרים מאוגחים: שכבת חוב (Tranch) בדרוג BBB- עד A+</t>
  </si>
  <si>
    <t>סה"כ מוצרים מאוגחים: שכבת חוב (Tranch) בדרוג BB+ ומטה</t>
  </si>
  <si>
    <t>סה"כ מוצרים מאוגחים: שכבת הון (Equity Tranch)</t>
  </si>
  <si>
    <t>סה"כ מוצרים מובנים בחו"ל</t>
  </si>
  <si>
    <t>1.ג. ניירות ערך לא סחירים</t>
  </si>
  <si>
    <t>שווי הוגן</t>
  </si>
  <si>
    <t>סה"כ תעודות התחייבות ממשלתיות בישראל</t>
  </si>
  <si>
    <t>סה"כ חץ</t>
  </si>
  <si>
    <t>סה"כ ערד</t>
  </si>
  <si>
    <t>סה"כ מירון</t>
  </si>
  <si>
    <t>סה"כ פקדונות חשכ"ל</t>
  </si>
  <si>
    <t>סה"כ תעודות התחייבות ממשלתיות אחרות</t>
  </si>
  <si>
    <t>סה"כ תעודות התחייבות ממשלתיות בחו"ל</t>
  </si>
  <si>
    <t>סה"כ אג"ח לא סחיר שהנפיקו ממשלות זרות בחו"ל</t>
  </si>
  <si>
    <t>סה"כ תעודות חוב מסחריות ל"ס</t>
  </si>
  <si>
    <t>סה"כ תעודות חוב מסחריות ל"ס בישראל</t>
  </si>
  <si>
    <t>סה"כ תעודות חוב מסחריות צמוד מדד</t>
  </si>
  <si>
    <t>סה"כ תעודות חוב מסחריות לא צמוד</t>
  </si>
  <si>
    <t>סה"כ תעודות חוב מסחריות אחר</t>
  </si>
  <si>
    <t>סה"כ תעודות חוב מסחריות ל"ס בחו"ל</t>
  </si>
  <si>
    <t>סה"כ תעודות חוב מסחריות של חברות ישראליות</t>
  </si>
  <si>
    <t>סה"כ תעודות חוב מסחריות של חברות זרות</t>
  </si>
  <si>
    <t>סה"כ אג"ח קונצרני ל"ס</t>
  </si>
  <si>
    <t>סה"כ אג"ח קונצרני ל"ס בישראל</t>
  </si>
  <si>
    <t>סה"כ אג"ח קונצרני צמוד מדד</t>
  </si>
  <si>
    <t>מקורות סד 5 אגח ב</t>
  </si>
  <si>
    <t>28/12/2005</t>
  </si>
  <si>
    <t>מקורות סדרה 6</t>
  </si>
  <si>
    <t>21/12/2006</t>
  </si>
  <si>
    <t>כ.התחייבות נד לאומי</t>
  </si>
  <si>
    <t>25/12/2002</t>
  </si>
  <si>
    <t>מניב ראשון אג"ח</t>
  </si>
  <si>
    <t>5/12/2004</t>
  </si>
  <si>
    <t>סופרגז לבית</t>
  </si>
  <si>
    <t>2/07/2007</t>
  </si>
  <si>
    <t>פועלים שטרי הון 2008</t>
  </si>
  <si>
    <t>24/12/2002</t>
  </si>
  <si>
    <t>אריסון ל"ס 4.9%</t>
  </si>
  <si>
    <t>7/03/2007</t>
  </si>
  <si>
    <t>דור גז החדשה</t>
  </si>
  <si>
    <t>26/05/2005</t>
  </si>
  <si>
    <t>דיביאס (YES) אגח א</t>
  </si>
  <si>
    <t>2/08/2007</t>
  </si>
  <si>
    <t>דרך ארץ - חוב בכיר</t>
  </si>
  <si>
    <t>31/12/2005</t>
  </si>
  <si>
    <t>הראל ביטוח כ.התחיבות</t>
  </si>
  <si>
    <t>18/02/2004</t>
  </si>
  <si>
    <t>חשמל 2022</t>
  </si>
  <si>
    <t>18/01/2011</t>
  </si>
  <si>
    <t>חשמל חב' 2001/2020</t>
  </si>
  <si>
    <t>7/05/1991</t>
  </si>
  <si>
    <t>7/06/1991</t>
  </si>
  <si>
    <t>כלל ביטוח אג"ח 9/18</t>
  </si>
  <si>
    <t>29/01/2003</t>
  </si>
  <si>
    <t>מימון רמלה אג"ח ל</t>
  </si>
  <si>
    <t>6/11/2005</t>
  </si>
  <si>
    <t>דרך ארץ 18-חוב בכיר</t>
  </si>
  <si>
    <t>28/06/2007</t>
  </si>
  <si>
    <t>וי.אי.די לא סחיר</t>
  </si>
  <si>
    <t>22/09/2005</t>
  </si>
  <si>
    <t>פועלים כ. התחיבות</t>
  </si>
  <si>
    <t>1/02/2004</t>
  </si>
  <si>
    <t>פועלים ש"ה סדרה ג</t>
  </si>
  <si>
    <t>1/11/2007</t>
  </si>
  <si>
    <t>פתאל אג"ח א'</t>
  </si>
  <si>
    <t>מלונאות ותיירות</t>
  </si>
  <si>
    <t>22/04/2014</t>
  </si>
  <si>
    <t>דלק קבוצה אג12</t>
  </si>
  <si>
    <t>8/11/2006</t>
  </si>
  <si>
    <t>דרך ארץ - חוב נחות</t>
  </si>
  <si>
    <t>27/06/2007</t>
  </si>
  <si>
    <t>מימון ישיר א'</t>
  </si>
  <si>
    <t>22/12/2016</t>
  </si>
  <si>
    <t>אלעד קנדה אג ב'</t>
  </si>
  <si>
    <t>3/04/2005</t>
  </si>
  <si>
    <t>אס.פי.סי אל-עד 1</t>
  </si>
  <si>
    <t>3/02/2005</t>
  </si>
  <si>
    <t>אס.פי.סי אל-עד 4</t>
  </si>
  <si>
    <t>6/10/2005</t>
  </si>
  <si>
    <t>דואר ישראל אג"ח א'</t>
  </si>
  <si>
    <t>28/03/2010</t>
  </si>
  <si>
    <t>אלון חב' הדלק סד' א'</t>
  </si>
  <si>
    <t>D</t>
  </si>
  <si>
    <t>22/01/2007</t>
  </si>
  <si>
    <t>אגרקסקו אג"ח 1 ל"ס</t>
  </si>
  <si>
    <t>27/12/2007</t>
  </si>
  <si>
    <t>אגרקסקו אגח א חש 4/12</t>
  </si>
  <si>
    <t>אולימפיה אג2</t>
  </si>
  <si>
    <t>אולימפיה אג3</t>
  </si>
  <si>
    <t>אמפל אמריקן אגח 1 ל"ס</t>
  </si>
  <si>
    <t>אמפל אמריקן אגח 2 ל"ס</t>
  </si>
  <si>
    <t>אמפל אמריקן אגח ב חש 1/12</t>
  </si>
  <si>
    <t>אמפל אמריקן אגח ב חש 1/13</t>
  </si>
  <si>
    <t>אמפל אמריקן אגח ב חש 1/14</t>
  </si>
  <si>
    <t>אמפל אמריקן אגח ב חש 2/15</t>
  </si>
  <si>
    <t>דוראה אג2</t>
  </si>
  <si>
    <t>חבס אג4</t>
  </si>
  <si>
    <t>חפציבה חופים אג1</t>
  </si>
  <si>
    <t>חפציבה חופים בפיגור</t>
  </si>
  <si>
    <t>לידקום  ח.ש. 8/09</t>
  </si>
  <si>
    <t>לידקום אג1</t>
  </si>
  <si>
    <t>לידקום אגא חש 12/09</t>
  </si>
  <si>
    <t>נץ בונד ב' 5.25%</t>
  </si>
  <si>
    <t>6/03/2007</t>
  </si>
  <si>
    <t>סקיילקס אג"ח י"ג</t>
  </si>
  <si>
    <t>3/03/2015</t>
  </si>
  <si>
    <t>סה"כ אג"ח קונצרני לא צמוד</t>
  </si>
  <si>
    <t>חשמל י"ג 8.5%</t>
  </si>
  <si>
    <t>9/04/2006</t>
  </si>
  <si>
    <t>ביטוח ישיר אגח י"א</t>
  </si>
  <si>
    <t>21/07/2016</t>
  </si>
  <si>
    <t>סקיילקס אגח ו</t>
  </si>
  <si>
    <t>סה"כ אג"ח קונצרני צמודות למט"ח</t>
  </si>
  <si>
    <t>תמר בונד 2020</t>
  </si>
  <si>
    <t>19/05/2014</t>
  </si>
  <si>
    <t>תמר בונד 2023</t>
  </si>
  <si>
    <t>אורמת טכנולוגי אגח 2</t>
  </si>
  <si>
    <t>13/09/2016</t>
  </si>
  <si>
    <t>אורמת טכנולוגי אגח 3</t>
  </si>
  <si>
    <t>צים אג"ח A1</t>
  </si>
  <si>
    <t>16/07/2014</t>
  </si>
  <si>
    <t>צים אג"ח ד'</t>
  </si>
  <si>
    <t>סה"כ אג"ח קונצרני אחר</t>
  </si>
  <si>
    <t>סה"כ אג"ח קונצרני ל"ס בחו"ל</t>
  </si>
  <si>
    <t>סה"כ אג"ח קונצרני של חברות ישראליות</t>
  </si>
  <si>
    <t>סה"כ אג"ח קונצרני של חברות זרות</t>
  </si>
  <si>
    <t>סה"כ מניות ל"ס</t>
  </si>
  <si>
    <t>סה"כ מניות ל"ס בישראל</t>
  </si>
  <si>
    <t>אדאקום</t>
  </si>
  <si>
    <t>גול פרטנרס</t>
  </si>
  <si>
    <t>צים מניית הטבה</t>
  </si>
  <si>
    <t>סה"כ מניות ל"ס בחו"ל</t>
  </si>
  <si>
    <t>5. קרנות השקעה</t>
  </si>
  <si>
    <t>סה"כ קרנות השקעה ל"ס</t>
  </si>
  <si>
    <t>סה"כ קרנות השקעה ל"ס בישראל</t>
  </si>
  <si>
    <t>סה"כ קרנות הון סיכון</t>
  </si>
  <si>
    <t>GIZA-  קרן הון סיכון</t>
  </si>
  <si>
    <t>ISRAEL SECONDARY FUND II</t>
  </si>
  <si>
    <t>24/02/2016</t>
  </si>
  <si>
    <t>STAGE ONE II</t>
  </si>
  <si>
    <t>21/07/2015</t>
  </si>
  <si>
    <t>VINTAGE INVESTMENT 7</t>
  </si>
  <si>
    <t>אוורגרין ק.הון סיכון</t>
  </si>
  <si>
    <t>קרן גלילות 2</t>
  </si>
  <si>
    <t>סה"כ קרנות גידור</t>
  </si>
  <si>
    <t>סה"כ קרנות נדל"ן</t>
  </si>
  <si>
    <t>נווה אילן</t>
  </si>
  <si>
    <t>קרן ריאליטי 2-גמל</t>
  </si>
  <si>
    <t>סה"כ קרנות השקעה אחרות</t>
  </si>
  <si>
    <t>AMI opportunities - A L.P. fund</t>
  </si>
  <si>
    <t>16/12/2015</t>
  </si>
  <si>
    <t>כביש 431</t>
  </si>
  <si>
    <t>קרן אלפא- גמל</t>
  </si>
  <si>
    <t>קרן ברוש קפיטל</t>
  </si>
  <si>
    <t>קרן הליוס</t>
  </si>
  <si>
    <t>קרן מרקסטון</t>
  </si>
  <si>
    <t>קרן פי מי - 5</t>
  </si>
  <si>
    <t>קרן פי מי -2-</t>
  </si>
  <si>
    <t>קרן פימי 6</t>
  </si>
  <si>
    <t>קרן פנינסולה</t>
  </si>
  <si>
    <t>29/08/2016</t>
  </si>
  <si>
    <t>קרן קדמה</t>
  </si>
  <si>
    <t>קרן קוגיטו קפיטל</t>
  </si>
  <si>
    <t>20/07/2016</t>
  </si>
  <si>
    <t>קרן תשתיות ישראל - ה</t>
  </si>
  <si>
    <t>סה"כ קרנות השקעה ל"ס בחו"ל</t>
  </si>
  <si>
    <t>GENESIS  - קרן הון ס</t>
  </si>
  <si>
    <t>PI SPC EMERGING MARKETS MARCO FUND</t>
  </si>
  <si>
    <t>KYG710401368</t>
  </si>
  <si>
    <t>סיגנט קרן גידור</t>
  </si>
  <si>
    <t>ALTO FUND II</t>
  </si>
  <si>
    <t>MMZ PROPERTIES DEN BOSCH ADAM ONE B.V</t>
  </si>
  <si>
    <t>NORTHSTAR ACI PARTNER LLC</t>
  </si>
  <si>
    <t>21/09/2015</t>
  </si>
  <si>
    <t>6. כתבי אופציה</t>
  </si>
  <si>
    <t>סה"כ כתבי אופציה ל"ס</t>
  </si>
  <si>
    <t>סה"כ כתבי אופציה ל"ס בישראל</t>
  </si>
  <si>
    <t>סה"כ כתבי אופציה ל"ס בחו"ל</t>
  </si>
  <si>
    <t>7. אופציות</t>
  </si>
  <si>
    <t>סה"כ אופציות ל"ס</t>
  </si>
  <si>
    <t>סה"כ אופציות ל"ס בישראל</t>
  </si>
  <si>
    <t>סה"כ אופציות מדדים כולל מניות</t>
  </si>
  <si>
    <t>סה"כ אופציות ₪ / מט"ח</t>
  </si>
  <si>
    <t>סה"כ אופציות מט"ח/ מט"ח</t>
  </si>
  <si>
    <t>סה"כ אופציות ריבית</t>
  </si>
  <si>
    <t>סה"כ אופציות אחר</t>
  </si>
  <si>
    <t>סה"כ אופציות ל"ס בחו"ל</t>
  </si>
  <si>
    <t>סה"כ אופציות מטבע</t>
  </si>
  <si>
    <t>סה"כ אופציות סחורות</t>
  </si>
  <si>
    <t>8. חוזים עתידיים</t>
  </si>
  <si>
    <t>סה"כ חוזים עתידיים ל"ס</t>
  </si>
  <si>
    <t>סה"כ חוזים עתידיים ל"ס בישראל</t>
  </si>
  <si>
    <t>סה"כ חוזים מדדים כולל מניות</t>
  </si>
  <si>
    <t>סה"כ חוזים ₪ / מט"ח</t>
  </si>
  <si>
    <t>FW דולר שקל 04.01.17</t>
  </si>
  <si>
    <t>26/12/2016</t>
  </si>
  <si>
    <t>6/10/2016</t>
  </si>
  <si>
    <t>FW דולר שקל 04.1.17</t>
  </si>
  <si>
    <t>FW דולר שקל04.01.17</t>
  </si>
  <si>
    <t>27/12/2016</t>
  </si>
  <si>
    <t>14/12/2016</t>
  </si>
  <si>
    <t>13/10/2016</t>
  </si>
  <si>
    <t>FW דולר שקל09.01.17</t>
  </si>
  <si>
    <t>FW דולר שקל26.01.17</t>
  </si>
  <si>
    <t>FW יורו שקל 04.01.17</t>
  </si>
  <si>
    <t>17/11/2016</t>
  </si>
  <si>
    <t>27/10/2016</t>
  </si>
  <si>
    <t>21/12/2016</t>
  </si>
  <si>
    <t>30/11/2016</t>
  </si>
  <si>
    <t>סה"כ חוזים מט"ח/ מט"ח</t>
  </si>
  <si>
    <t>סה"כ חוזים ריבית</t>
  </si>
  <si>
    <t>סה"כ חוזים אחר</t>
  </si>
  <si>
    <t>סה"כ חוזים עתידיים ל"ס בחו"ל</t>
  </si>
  <si>
    <t>סה"כ חוזים מטבע</t>
  </si>
  <si>
    <t>9. מוצרים מובנים</t>
  </si>
  <si>
    <t>סה"כ מוצרים מובנים ל"ס</t>
  </si>
  <si>
    <t>סה"כ מוצרים מובנים ל"ס בישראל</t>
  </si>
  <si>
    <t>אפריל נדל"ן ב'</t>
  </si>
  <si>
    <t>5/12/2012</t>
  </si>
  <si>
    <t>סה"כ מוצרים מובנים ל"ס בחו"ל</t>
  </si>
  <si>
    <t>1.ד. הלוואות:</t>
  </si>
  <si>
    <t>קונסורציום כן/לא</t>
  </si>
  <si>
    <t>סה"כ הלוואות</t>
  </si>
  <si>
    <t>סה"כ הלוואות בישראל</t>
  </si>
  <si>
    <t>סה"כ הלוואות כנגד חסכון עמיתים/מבוטחים</t>
  </si>
  <si>
    <t>לא</t>
  </si>
  <si>
    <t>סה"כ הלוואות מובטחות במשכנתא או תיקי משכנתאות</t>
  </si>
  <si>
    <t>סה"כ הלוואות מובטחות בערבות בנקאית</t>
  </si>
  <si>
    <t>סה"כ הלוואות מובטחות בבטחונות אחרים</t>
  </si>
  <si>
    <t>סה"כ הלוואות מובטחות בשעבוד כלי רכב</t>
  </si>
  <si>
    <t>סה"כ הלוואות לסוכנים מובטחות בתזרים עמלות</t>
  </si>
  <si>
    <t>סה"כ הלוואות לסוכנים בטחונות אחרים</t>
  </si>
  <si>
    <t>סה"כ הלוואות הלוואות לעובדים ונושאי משרה</t>
  </si>
  <si>
    <t>סה"כ הלוואות לא מובטחות</t>
  </si>
  <si>
    <t>סה"כ הלוואות בחו"ל</t>
  </si>
  <si>
    <t>סה"כ הלוואות מובטחות במשכנתא או תיקי משכנתאות בחול</t>
  </si>
  <si>
    <t>סה"כ הלוואות מובטחות בערבות בנקאית בחול</t>
  </si>
  <si>
    <t>סה"כ הלוואות מובטחות בבטחונות אחרים בחול</t>
  </si>
  <si>
    <t>סה"כ הלוואות לא מובטחות בחול</t>
  </si>
  <si>
    <t>1.ה. פקדונות מעל 3 חודשים:</t>
  </si>
  <si>
    <t>סה"כ פקדונות</t>
  </si>
  <si>
    <t>סה"כ פקדונות בישראל</t>
  </si>
  <si>
    <t>סה"כ פקדונות צמוד למדד</t>
  </si>
  <si>
    <t>לאומי למשכנתאות</t>
  </si>
  <si>
    <t>10-00317013</t>
  </si>
  <si>
    <t>לאומי למשכנתאות- חלו</t>
  </si>
  <si>
    <t>10-31200801</t>
  </si>
  <si>
    <t>פועלים פקדון</t>
  </si>
  <si>
    <t>12-06621239</t>
  </si>
  <si>
    <t>פועלים פקדון 08/2017</t>
  </si>
  <si>
    <t>12-06477236</t>
  </si>
  <si>
    <t>פועלים פקדון 2003/20</t>
  </si>
  <si>
    <t>12-06477855</t>
  </si>
  <si>
    <t>בנק איגוד 2017/92 %4</t>
  </si>
  <si>
    <t>סה"כ פקדונות לא צמוד</t>
  </si>
  <si>
    <t>סה"כ פקדונות נקוב במט"ח</t>
  </si>
  <si>
    <t>סה"כ פקדונות צמוד למט"ח</t>
  </si>
  <si>
    <t>סה"כ פקדונות אחר</t>
  </si>
  <si>
    <t>סה"כ פקדונות בחו"ל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</si>
  <si>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</si>
  <si>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</si>
  <si>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</si>
  <si>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</si>
  <si>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</si>
  <si>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סה"כ זכויות מקרקעין</t>
  </si>
  <si>
    <t>סה"כ זכויות מקרקעין בישראל</t>
  </si>
  <si>
    <t>סה"כ מקרקעין מניב</t>
  </si>
  <si>
    <t>סה"כ מקרקעין לא מניב</t>
  </si>
  <si>
    <t>סה"כ זכויות מקרקעין בחו"ל</t>
  </si>
  <si>
    <t>סה"כ מקרקעין מניב בחול</t>
  </si>
  <si>
    <t>סה"כ מקרקעין לא מניב בחול</t>
  </si>
  <si>
    <t>1. ז. השקעה בחברות מוחזקות:</t>
  </si>
  <si>
    <t>סה"כ חברות מוחזקות</t>
  </si>
  <si>
    <t>סה"כ נכסים אחרים</t>
  </si>
  <si>
    <t>סה"כ חברות מוחזקות בארץ</t>
  </si>
  <si>
    <t>סה"כ חברות מוחזקות בחו"ל</t>
  </si>
  <si>
    <t>1. ח. השקעות אחרות</t>
  </si>
  <si>
    <t>סה"כ השקעות אחרות</t>
  </si>
  <si>
    <t>סה"כ השקעות אחרות בישראל</t>
  </si>
  <si>
    <t>סה"כ השקעות אחרות בחו"ל</t>
  </si>
  <si>
    <t>1. ט. יתרות התחייבות להשקעה:</t>
  </si>
  <si>
    <t>תאריך סיום ההתחייבות</t>
  </si>
  <si>
    <t>סה"כ התחייבות להשקעה</t>
  </si>
  <si>
    <t>סה"כ התחייבות להשקעה בישראל</t>
  </si>
  <si>
    <t>סה"כ יתרות התחייבות להשקעה בישראל</t>
  </si>
  <si>
    <t>סה"כ התחייבות להשקעה בחו"ל</t>
  </si>
  <si>
    <t>סה"כ יתרות התחייבות להשקעה בחו"ל</t>
  </si>
  <si>
    <t>2.א. אג"ח קונצרני סחיר</t>
  </si>
  <si>
    <t>ריבית אפקטיבית</t>
  </si>
  <si>
    <t>עלות מותאמת</t>
  </si>
  <si>
    <t>2.ב. אג"ח קונצרני לא סחיר</t>
  </si>
  <si>
    <t>2.ג. מסגרות אשראי מנוצלות ללווים</t>
  </si>
  <si>
    <t>תאריך הדיווח: 29/9/16</t>
  </si>
  <si>
    <t>החברה המדווחת: איילון פנסיה וגמל בע"מ</t>
  </si>
  <si>
    <t>תאריך הדיווח: 29/12/16</t>
  </si>
  <si>
    <t>01/01/2025</t>
  </si>
  <si>
    <t>STAGE ONE 2</t>
  </si>
  <si>
    <t>01/01/2022</t>
  </si>
  <si>
    <t>קרן ריאליטי 2</t>
  </si>
  <si>
    <t>25/11/2025</t>
  </si>
  <si>
    <t>קוגניטו קפיטל</t>
  </si>
  <si>
    <t>קרן פי מי 6</t>
  </si>
  <si>
    <t>פנינסולה</t>
  </si>
  <si>
    <t>שקד</t>
  </si>
  <si>
    <t xml:space="preserve">מזומן מזרחי </t>
  </si>
  <si>
    <t>20-00000004</t>
  </si>
  <si>
    <t xml:space="preserve">מזומן בינלאומי </t>
  </si>
  <si>
    <t>31-00000004</t>
  </si>
  <si>
    <t>מזומן אוצר החייל</t>
  </si>
  <si>
    <t>14-00000004</t>
  </si>
  <si>
    <t>מזומן פועלים</t>
  </si>
  <si>
    <t>12-00000004</t>
  </si>
  <si>
    <t>שקל חדש עתידי (מזרחי)</t>
  </si>
  <si>
    <t>20-00005000</t>
  </si>
  <si>
    <t>מזומן אגוד</t>
  </si>
  <si>
    <t>מדרוג</t>
  </si>
  <si>
    <t>דולר אוסטרלי מזומן -בנק איגוד</t>
  </si>
  <si>
    <t>דולר מזומן -בנק איגוד</t>
  </si>
  <si>
    <t>יורו מזומן -בנק איגוד</t>
  </si>
  <si>
    <t>מעבר דולר תקבול תשלם - בנק מזרחי</t>
  </si>
  <si>
    <t>20-419259007</t>
  </si>
  <si>
    <t>מעבר יורו תקבול תשלם - בנק מזרחי</t>
  </si>
  <si>
    <t>20-419259015</t>
  </si>
  <si>
    <t>שטרלינג מזומן-בנק הבינלאומי</t>
  </si>
  <si>
    <t>פזו מזומן - בנק מזרחי</t>
  </si>
  <si>
    <t>פזו מזומן - בנק בנלאומי</t>
  </si>
  <si>
    <t>31-00012290</t>
  </si>
  <si>
    <t>פק"מ 1298 (מזרחי)</t>
  </si>
  <si>
    <t>20-00022001</t>
  </si>
  <si>
    <t>פקמ (בינלאומי)</t>
  </si>
  <si>
    <t>31-50050685</t>
  </si>
  <si>
    <t>31-50050686</t>
  </si>
  <si>
    <t>בטחונות GBP HSBC (מזרחי)</t>
  </si>
  <si>
    <t>20-00327114</t>
  </si>
  <si>
    <t>חייבים/זכאים</t>
  </si>
  <si>
    <t>נכס1</t>
  </si>
  <si>
    <t>הרחבה 1</t>
  </si>
  <si>
    <t>נכס 2</t>
  </si>
  <si>
    <t>הלוואות עמיתים מ</t>
  </si>
  <si>
    <t>הלוואות עמיתים ב</t>
  </si>
  <si>
    <t>הלוואת 1</t>
  </si>
  <si>
    <t>הלוואה 2</t>
  </si>
  <si>
    <t>הלוואת 3</t>
  </si>
  <si>
    <t>הלוואת 2</t>
  </si>
  <si>
    <t>הלוואת  3</t>
  </si>
  <si>
    <t>הלוואת  5</t>
  </si>
  <si>
    <t>הלוואת 11</t>
  </si>
  <si>
    <t>הלוואת 13</t>
  </si>
  <si>
    <t>הלוואת  6</t>
  </si>
  <si>
    <t>הלוואת 7</t>
  </si>
  <si>
    <t>הלוואת  8</t>
  </si>
  <si>
    <t>הלוואת  9</t>
  </si>
  <si>
    <t>הלוואת14</t>
  </si>
  <si>
    <t>הלוואת 10</t>
  </si>
  <si>
    <t>הלוואת15</t>
  </si>
  <si>
    <t>הלוואת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</si>
</sst>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%"/>
    <numFmt numFmtId="168" formatCode="#,##0.0"/>
  </numFmts>
  <fonts count="33">
    <font>
      <sz val="10"/>
      <name val="Arial"/>
    </font>
    <font>
      <sz val="10"/>
      <name val="Arial"/>
      <family val="2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9"/>
      <color rgb="FF800080"/>
      <name val="Ariel"/>
    </font>
    <font>
      <b/>
      <sz val="9"/>
      <color rgb="FF000080"/>
      <name val="Ariel"/>
    </font>
    <font>
      <sz val="9"/>
      <name val="Arial"/>
      <family val="2"/>
    </font>
    <font>
      <b/>
      <sz val="9"/>
      <color rgb="FF0000FF"/>
      <name val="Ariel"/>
    </font>
    <font>
      <sz val="9"/>
      <color rgb="FF0000FF"/>
      <name val="Ariel"/>
    </font>
    <font>
      <sz val="9"/>
      <name val="Ariel"/>
    </font>
    <font>
      <sz val="10"/>
      <name val="Arial"/>
      <family val="2"/>
    </font>
    <font>
      <sz val="9"/>
      <color rgb="FF000000"/>
      <name val="Ariel"/>
    </font>
    <font>
      <sz val="10"/>
      <name val="Arial"/>
      <family val="2"/>
    </font>
    <font>
      <b/>
      <sz val="8"/>
      <color rgb="FF0000FF"/>
      <name val="Ariel"/>
    </font>
    <font>
      <sz val="8"/>
      <name val="Arial"/>
      <family val="2"/>
    </font>
    <font>
      <sz val="8"/>
      <color rgb="FF0000FF"/>
      <name val="Ariel"/>
    </font>
    <font>
      <sz val="8"/>
      <name val="Ariel"/>
    </font>
    <font>
      <b/>
      <sz val="8"/>
      <name val="Ariel"/>
    </font>
    <font>
      <sz val="8"/>
      <color rgb="FF000000"/>
      <name val="Ariel"/>
    </font>
    <font>
      <sz val="8"/>
      <color rgb="FF0000FF"/>
      <name val="Ariel"/>
      <charset val="177"/>
    </font>
    <font>
      <sz val="8"/>
      <color theme="1"/>
      <name val="Ariel"/>
    </font>
    <font>
      <sz val="8"/>
      <name val="Ariel"/>
      <charset val="177"/>
    </font>
    <font>
      <sz val="8"/>
      <color indexed="8"/>
      <name val="Ariel"/>
    </font>
    <font>
      <sz val="8"/>
      <color rgb="FFFF0000"/>
      <name val="Arial"/>
      <family val="2"/>
    </font>
    <font>
      <sz val="8"/>
      <color rgb="FFFF0000"/>
      <name val="Ariel"/>
    </font>
    <font>
      <b/>
      <sz val="8"/>
      <color rgb="FF0000FF"/>
      <name val="Ariel"/>
      <charset val="177"/>
    </font>
    <font>
      <sz val="10"/>
      <color rgb="FF0000FF"/>
      <name val="Ariel"/>
      <charset val="177"/>
    </font>
    <font>
      <b/>
      <sz val="10"/>
      <color rgb="FF0000FF"/>
      <name val="Ariel"/>
      <charset val="177"/>
    </font>
    <font>
      <b/>
      <sz val="10"/>
      <color rgb="FF000000"/>
      <name val="Ariel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/>
    <xf numFmtId="0" fontId="14" fillId="0" borderId="0"/>
    <xf numFmtId="9" fontId="16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right" readingOrder="2"/>
    </xf>
    <xf numFmtId="0" fontId="0" fillId="0" borderId="1" xfId="0" applyBorder="1"/>
    <xf numFmtId="0" fontId="4" fillId="0" borderId="1" xfId="0" applyFont="1" applyBorder="1" applyAlignment="1">
      <alignment horizontal="right" readingOrder="2"/>
    </xf>
    <xf numFmtId="0" fontId="5" fillId="0" borderId="1" xfId="0" applyFont="1" applyBorder="1" applyAlignment="1">
      <alignment horizontal="right" readingOrder="2"/>
    </xf>
    <xf numFmtId="0" fontId="6" fillId="0" borderId="1" xfId="0" applyFont="1" applyBorder="1" applyAlignment="1">
      <alignment horizontal="right" readingOrder="2"/>
    </xf>
    <xf numFmtId="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 readingOrder="2"/>
    </xf>
    <xf numFmtId="0" fontId="9" fillId="0" borderId="0" xfId="0" applyFont="1" applyAlignment="1">
      <alignment horizontal="right" readingOrder="2"/>
    </xf>
    <xf numFmtId="0" fontId="10" fillId="0" borderId="0" xfId="0" applyFont="1"/>
    <xf numFmtId="0" fontId="11" fillId="2" borderId="2" xfId="0" applyFont="1" applyFill="1" applyBorder="1" applyAlignment="1">
      <alignment horizontal="right" readingOrder="2"/>
    </xf>
    <xf numFmtId="0" fontId="11" fillId="2" borderId="3" xfId="0" applyFont="1" applyFill="1" applyBorder="1" applyAlignment="1">
      <alignment horizontal="right" readingOrder="2"/>
    </xf>
    <xf numFmtId="0" fontId="11" fillId="2" borderId="4" xfId="0" applyFont="1" applyFill="1" applyBorder="1" applyAlignment="1">
      <alignment horizontal="right" readingOrder="2"/>
    </xf>
    <xf numFmtId="0" fontId="11" fillId="2" borderId="5" xfId="0" applyFont="1" applyFill="1" applyBorder="1" applyAlignment="1">
      <alignment horizontal="right" readingOrder="2"/>
    </xf>
    <xf numFmtId="0" fontId="11" fillId="2" borderId="6" xfId="0" applyFont="1" applyFill="1" applyBorder="1" applyAlignment="1">
      <alignment horizontal="right" readingOrder="2"/>
    </xf>
    <xf numFmtId="0" fontId="11" fillId="2" borderId="7" xfId="0" applyFont="1" applyFill="1" applyBorder="1" applyAlignment="1">
      <alignment horizontal="right" readingOrder="2"/>
    </xf>
    <xf numFmtId="0" fontId="10" fillId="0" borderId="8" xfId="0" applyFont="1" applyBorder="1"/>
    <xf numFmtId="0" fontId="11" fillId="0" borderId="1" xfId="0" applyFont="1" applyBorder="1" applyAlignment="1">
      <alignment horizontal="right" readingOrder="2"/>
    </xf>
    <xf numFmtId="4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 readingOrder="2"/>
    </xf>
    <xf numFmtId="4" fontId="12" fillId="0" borderId="1" xfId="0" applyNumberFormat="1" applyFont="1" applyBorder="1" applyAlignment="1">
      <alignment horizontal="right"/>
    </xf>
    <xf numFmtId="0" fontId="13" fillId="0" borderId="1" xfId="0" applyFont="1" applyFill="1" applyBorder="1" applyAlignment="1">
      <alignment horizontal="right" readingOrder="2"/>
    </xf>
    <xf numFmtId="14" fontId="13" fillId="0" borderId="1" xfId="0" applyNumberFormat="1" applyFont="1" applyFill="1" applyBorder="1" applyAlignment="1">
      <alignment horizontal="right" readingOrder="2"/>
    </xf>
    <xf numFmtId="43" fontId="10" fillId="0" borderId="1" xfId="1" applyFont="1" applyFill="1" applyBorder="1"/>
    <xf numFmtId="0" fontId="10" fillId="0" borderId="1" xfId="0" applyFont="1" applyFill="1" applyBorder="1" applyAlignment="1">
      <alignment horizontal="right"/>
    </xf>
    <xf numFmtId="14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/>
    <xf numFmtId="0" fontId="15" fillId="0" borderId="1" xfId="2" applyFont="1" applyFill="1" applyBorder="1" applyAlignment="1">
      <alignment horizontal="right" readingOrder="2"/>
    </xf>
    <xf numFmtId="0" fontId="12" fillId="0" borderId="1" xfId="0" applyFont="1" applyFill="1" applyBorder="1" applyAlignment="1">
      <alignment horizontal="right" readingOrder="2"/>
    </xf>
    <xf numFmtId="4" fontId="12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readingOrder="2"/>
    </xf>
    <xf numFmtId="0" fontId="7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0" fontId="11" fillId="2" borderId="12" xfId="0" applyFont="1" applyFill="1" applyBorder="1" applyAlignment="1">
      <alignment horizontal="right" readingOrder="2"/>
    </xf>
    <xf numFmtId="0" fontId="11" fillId="2" borderId="13" xfId="0" applyFont="1" applyFill="1" applyBorder="1" applyAlignment="1">
      <alignment horizontal="right" readingOrder="2"/>
    </xf>
    <xf numFmtId="0" fontId="11" fillId="2" borderId="15" xfId="0" applyFont="1" applyFill="1" applyBorder="1" applyAlignment="1">
      <alignment horizontal="right" readingOrder="2"/>
    </xf>
    <xf numFmtId="0" fontId="11" fillId="2" borderId="16" xfId="0" applyFont="1" applyFill="1" applyBorder="1" applyAlignment="1">
      <alignment horizontal="right" readingOrder="2"/>
    </xf>
    <xf numFmtId="0" fontId="11" fillId="2" borderId="1" xfId="0" applyFont="1" applyFill="1" applyBorder="1" applyAlignment="1">
      <alignment horizontal="right" readingOrder="2"/>
    </xf>
    <xf numFmtId="164" fontId="30" fillId="0" borderId="1" xfId="0" applyNumberFormat="1" applyFont="1" applyBorder="1" applyAlignment="1">
      <alignment horizontal="right"/>
    </xf>
    <xf numFmtId="10" fontId="7" fillId="0" borderId="1" xfId="3" applyNumberFormat="1" applyFont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0" fontId="4" fillId="0" borderId="1" xfId="3" applyNumberFormat="1" applyFont="1" applyBorder="1" applyAlignment="1">
      <alignment horizontal="right"/>
    </xf>
    <xf numFmtId="0" fontId="9" fillId="0" borderId="1" xfId="0" applyFont="1" applyBorder="1" applyAlignment="1">
      <alignment horizontal="center" readingOrder="2"/>
    </xf>
    <xf numFmtId="167" fontId="7" fillId="0" borderId="1" xfId="3" applyNumberFormat="1" applyFont="1" applyBorder="1" applyAlignment="1">
      <alignment horizontal="right"/>
    </xf>
    <xf numFmtId="0" fontId="8" fillId="0" borderId="0" xfId="4" applyFont="1" applyAlignment="1">
      <alignment horizontal="right" readingOrder="2"/>
    </xf>
    <xf numFmtId="0" fontId="1" fillId="0" borderId="0" xfId="4"/>
    <xf numFmtId="4" fontId="1" fillId="0" borderId="0" xfId="4" applyNumberFormat="1"/>
    <xf numFmtId="0" fontId="11" fillId="2" borderId="12" xfId="4" applyFont="1" applyFill="1" applyBorder="1" applyAlignment="1">
      <alignment horizontal="right" readingOrder="2"/>
    </xf>
    <xf numFmtId="0" fontId="11" fillId="2" borderId="13" xfId="4" applyFont="1" applyFill="1" applyBorder="1" applyAlignment="1">
      <alignment horizontal="right" readingOrder="2"/>
    </xf>
    <xf numFmtId="0" fontId="10" fillId="0" borderId="1" xfId="4" applyFont="1" applyBorder="1"/>
    <xf numFmtId="0" fontId="17" fillId="0" borderId="1" xfId="4" applyFont="1" applyBorder="1" applyAlignment="1">
      <alignment horizontal="right" readingOrder="2"/>
    </xf>
    <xf numFmtId="0" fontId="17" fillId="0" borderId="1" xfId="4" applyFont="1" applyBorder="1" applyAlignment="1">
      <alignment horizontal="right"/>
    </xf>
    <xf numFmtId="0" fontId="17" fillId="0" borderId="1" xfId="4" applyFont="1" applyFill="1" applyBorder="1" applyAlignment="1">
      <alignment horizontal="right" readingOrder="2"/>
    </xf>
    <xf numFmtId="0" fontId="18" fillId="0" borderId="1" xfId="4" applyFont="1" applyBorder="1"/>
    <xf numFmtId="4" fontId="17" fillId="0" borderId="1" xfId="4" applyNumberFormat="1" applyFont="1" applyBorder="1" applyAlignment="1">
      <alignment horizontal="right"/>
    </xf>
    <xf numFmtId="164" fontId="17" fillId="0" borderId="1" xfId="4" applyNumberFormat="1" applyFont="1" applyBorder="1" applyAlignment="1">
      <alignment horizontal="right"/>
    </xf>
    <xf numFmtId="0" fontId="19" fillId="0" borderId="1" xfId="4" applyFont="1" applyBorder="1" applyAlignment="1">
      <alignment horizontal="right" readingOrder="2"/>
    </xf>
    <xf numFmtId="0" fontId="19" fillId="0" borderId="1" xfId="4" applyFont="1" applyBorder="1" applyAlignment="1">
      <alignment horizontal="right"/>
    </xf>
    <xf numFmtId="0" fontId="19" fillId="0" borderId="1" xfId="4" applyFont="1" applyFill="1" applyBorder="1" applyAlignment="1">
      <alignment horizontal="right" readingOrder="2"/>
    </xf>
    <xf numFmtId="4" fontId="19" fillId="0" borderId="1" xfId="4" applyNumberFormat="1" applyFont="1" applyBorder="1" applyAlignment="1">
      <alignment horizontal="right"/>
    </xf>
    <xf numFmtId="0" fontId="20" fillId="0" borderId="1" xfId="4" applyFont="1" applyBorder="1" applyAlignment="1">
      <alignment horizontal="right" readingOrder="2"/>
    </xf>
    <xf numFmtId="0" fontId="20" fillId="0" borderId="1" xfId="4" applyFont="1" applyBorder="1" applyAlignment="1">
      <alignment horizontal="right"/>
    </xf>
    <xf numFmtId="0" fontId="20" fillId="0" borderId="1" xfId="4" applyFont="1" applyFill="1" applyBorder="1" applyAlignment="1">
      <alignment horizontal="right" readingOrder="2"/>
    </xf>
    <xf numFmtId="4" fontId="20" fillId="0" borderId="1" xfId="4" applyNumberFormat="1" applyFont="1" applyBorder="1" applyAlignment="1">
      <alignment horizontal="right"/>
    </xf>
    <xf numFmtId="164" fontId="20" fillId="0" borderId="1" xfId="4" applyNumberFormat="1" applyFont="1" applyBorder="1" applyAlignment="1">
      <alignment horizontal="right"/>
    </xf>
    <xf numFmtId="0" fontId="20" fillId="0" borderId="1" xfId="4" applyFont="1" applyFill="1" applyBorder="1" applyAlignment="1">
      <alignment horizontal="right"/>
    </xf>
    <xf numFmtId="0" fontId="18" fillId="0" borderId="1" xfId="4" applyFont="1" applyFill="1" applyBorder="1"/>
    <xf numFmtId="4" fontId="20" fillId="0" borderId="1" xfId="4" applyNumberFormat="1" applyFont="1" applyFill="1" applyBorder="1" applyAlignment="1">
      <alignment horizontal="right"/>
    </xf>
    <xf numFmtId="0" fontId="18" fillId="0" borderId="14" xfId="4" applyFont="1" applyBorder="1" applyAlignment="1">
      <alignment horizontal="right"/>
    </xf>
    <xf numFmtId="164" fontId="21" fillId="0" borderId="1" xfId="4" applyNumberFormat="1" applyFont="1" applyBorder="1" applyAlignment="1">
      <alignment horizontal="right"/>
    </xf>
    <xf numFmtId="0" fontId="22" fillId="0" borderId="1" xfId="4" applyFont="1" applyBorder="1" applyAlignment="1">
      <alignment horizontal="right" readingOrder="2"/>
    </xf>
    <xf numFmtId="0" fontId="22" fillId="0" borderId="1" xfId="4" applyFont="1" applyBorder="1" applyAlignment="1">
      <alignment horizontal="right"/>
    </xf>
    <xf numFmtId="0" fontId="22" fillId="0" borderId="1" xfId="4" applyFont="1" applyFill="1" applyBorder="1" applyAlignment="1">
      <alignment horizontal="right" readingOrder="2"/>
    </xf>
    <xf numFmtId="4" fontId="22" fillId="0" borderId="1" xfId="4" applyNumberFormat="1" applyFont="1" applyBorder="1" applyAlignment="1">
      <alignment horizontal="right"/>
    </xf>
    <xf numFmtId="164" fontId="22" fillId="0" borderId="1" xfId="4" applyNumberFormat="1" applyFont="1" applyBorder="1" applyAlignment="1">
      <alignment horizontal="right"/>
    </xf>
    <xf numFmtId="164" fontId="23" fillId="0" borderId="1" xfId="4" applyNumberFormat="1" applyFont="1" applyBorder="1" applyAlignment="1">
      <alignment horizontal="right"/>
    </xf>
    <xf numFmtId="0" fontId="20" fillId="3" borderId="1" xfId="4" applyFont="1" applyFill="1" applyBorder="1" applyAlignment="1">
      <alignment horizontal="right" readingOrder="2"/>
    </xf>
    <xf numFmtId="164" fontId="24" fillId="0" borderId="1" xfId="4" applyNumberFormat="1" applyFont="1" applyBorder="1" applyAlignment="1">
      <alignment horizontal="right"/>
    </xf>
    <xf numFmtId="164" fontId="25" fillId="0" borderId="1" xfId="4" applyNumberFormat="1" applyFont="1" applyBorder="1" applyAlignment="1">
      <alignment horizontal="right"/>
    </xf>
    <xf numFmtId="0" fontId="22" fillId="3" borderId="1" xfId="4" applyFont="1" applyFill="1" applyBorder="1" applyAlignment="1">
      <alignment horizontal="right" readingOrder="2"/>
    </xf>
    <xf numFmtId="0" fontId="26" fillId="0" borderId="1" xfId="4" applyFont="1" applyBorder="1" applyAlignment="1">
      <alignment horizontal="right" readingOrder="2"/>
    </xf>
    <xf numFmtId="0" fontId="27" fillId="0" borderId="1" xfId="4" applyFont="1" applyBorder="1"/>
    <xf numFmtId="164" fontId="19" fillId="0" borderId="1" xfId="4" applyNumberFormat="1" applyFont="1" applyBorder="1" applyAlignment="1">
      <alignment horizontal="right"/>
    </xf>
    <xf numFmtId="0" fontId="28" fillId="0" borderId="1" xfId="4" applyFont="1" applyBorder="1" applyAlignment="1">
      <alignment horizontal="right" readingOrder="2"/>
    </xf>
    <xf numFmtId="0" fontId="28" fillId="0" borderId="1" xfId="4" applyFont="1" applyBorder="1" applyAlignment="1">
      <alignment horizontal="right"/>
    </xf>
    <xf numFmtId="0" fontId="28" fillId="0" borderId="1" xfId="4" applyFont="1" applyFill="1" applyBorder="1" applyAlignment="1">
      <alignment horizontal="right" readingOrder="2"/>
    </xf>
    <xf numFmtId="4" fontId="28" fillId="0" borderId="1" xfId="4" applyNumberFormat="1" applyFont="1" applyBorder="1" applyAlignment="1">
      <alignment horizontal="right"/>
    </xf>
    <xf numFmtId="164" fontId="28" fillId="0" borderId="1" xfId="4" applyNumberFormat="1" applyFont="1" applyBorder="1" applyAlignment="1">
      <alignment horizontal="right"/>
    </xf>
    <xf numFmtId="0" fontId="21" fillId="0" borderId="1" xfId="4" applyFont="1" applyBorder="1" applyAlignment="1">
      <alignment horizontal="right" readingOrder="2"/>
    </xf>
    <xf numFmtId="0" fontId="21" fillId="0" borderId="1" xfId="4" applyFont="1" applyBorder="1" applyAlignment="1">
      <alignment horizontal="right"/>
    </xf>
    <xf numFmtId="0" fontId="21" fillId="0" borderId="1" xfId="4" applyFont="1" applyFill="1" applyBorder="1" applyAlignment="1">
      <alignment horizontal="right" readingOrder="2"/>
    </xf>
    <xf numFmtId="4" fontId="29" fillId="0" borderId="1" xfId="4" applyNumberFormat="1" applyFont="1" applyBorder="1" applyAlignment="1">
      <alignment horizontal="right"/>
    </xf>
    <xf numFmtId="4" fontId="21" fillId="0" borderId="1" xfId="4" applyNumberFormat="1" applyFont="1" applyBorder="1" applyAlignment="1">
      <alignment horizontal="right"/>
    </xf>
    <xf numFmtId="168" fontId="32" fillId="0" borderId="1" xfId="0" applyNumberFormat="1" applyFont="1" applyBorder="1" applyAlignment="1">
      <alignment horizontal="right"/>
    </xf>
    <xf numFmtId="4" fontId="32" fillId="0" borderId="1" xfId="0" applyNumberFormat="1" applyFont="1" applyBorder="1" applyAlignment="1">
      <alignment horizontal="right"/>
    </xf>
    <xf numFmtId="0" fontId="9" fillId="0" borderId="9" xfId="4" applyFont="1" applyBorder="1" applyAlignment="1">
      <alignment horizontal="center" readingOrder="2"/>
    </xf>
    <xf numFmtId="0" fontId="9" fillId="0" borderId="10" xfId="4" applyFont="1" applyBorder="1" applyAlignment="1">
      <alignment horizontal="center" readingOrder="2"/>
    </xf>
    <xf numFmtId="0" fontId="9" fillId="0" borderId="11" xfId="4" applyFont="1" applyBorder="1" applyAlignment="1">
      <alignment horizontal="center" readingOrder="2"/>
    </xf>
    <xf numFmtId="0" fontId="9" fillId="0" borderId="9" xfId="0" applyFont="1" applyBorder="1" applyAlignment="1">
      <alignment horizontal="center" readingOrder="2"/>
    </xf>
    <xf numFmtId="0" fontId="9" fillId="0" borderId="10" xfId="0" applyFont="1" applyBorder="1" applyAlignment="1">
      <alignment horizontal="center" readingOrder="2"/>
    </xf>
    <xf numFmtId="0" fontId="9" fillId="0" borderId="11" xfId="0" applyFont="1" applyBorder="1" applyAlignment="1">
      <alignment horizontal="center" readingOrder="2"/>
    </xf>
    <xf numFmtId="0" fontId="9" fillId="0" borderId="1" xfId="0" applyFont="1" applyBorder="1" applyAlignment="1">
      <alignment horizontal="center" readingOrder="2"/>
    </xf>
    <xf numFmtId="0" fontId="9" fillId="0" borderId="17" xfId="0" applyFont="1" applyBorder="1" applyAlignment="1">
      <alignment horizontal="center" readingOrder="2"/>
    </xf>
    <xf numFmtId="0" fontId="9" fillId="0" borderId="18" xfId="0" applyFont="1" applyBorder="1" applyAlignment="1">
      <alignment horizontal="center" readingOrder="2"/>
    </xf>
    <xf numFmtId="0" fontId="13" fillId="0" borderId="1" xfId="0" applyFont="1" applyBorder="1" applyAlignment="1">
      <alignment horizontal="right" readingOrder="2"/>
    </xf>
    <xf numFmtId="164" fontId="15" fillId="0" borderId="1" xfId="0" applyNumberFormat="1" applyFont="1" applyBorder="1" applyAlignment="1">
      <alignment horizontal="right"/>
    </xf>
    <xf numFmtId="10" fontId="0" fillId="0" borderId="0" xfId="3" applyNumberFormat="1" applyFont="1"/>
    <xf numFmtId="164" fontId="32" fillId="0" borderId="1" xfId="0" applyNumberFormat="1" applyFont="1" applyBorder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n/Mid%20Office/Snir%20BI/&#1511;&#1493;&#1508;&#1493;&#1514;%20&#1490;&#1502;&#1500;/&#1513;&#1493;&#1493;&#1497;%20&#1504;&#1499;&#1505;&#1497;&#1501;/2016/30.06.2016/&#1512;&#1513;&#1497;&#1502;&#1514;%20&#1504;&#1499;&#1505;&#1497;&#1501;%20&#1502;&#1512;&#1499;&#1494;&#1514;%20&#1500;&#1514;&#1488;&#1512;&#1497;&#1498;%2030.06.2016%20-%20&#1491;&#1497;&#1493;&#1493;&#1495;%20&#1505;&#1493;&#1508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כום נכסי הקרן"/>
      <sheetName val="מזומנים"/>
      <sheetName val="תעודות התחייבות ממשלתיות"/>
      <sheetName val="תעודות חוב מסחריות"/>
      <sheetName val="אג&quot;ח קונצרני"/>
      <sheetName val="מניות"/>
      <sheetName val="תעוד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- תעודות התחייבות ממשלתי"/>
      <sheetName val="לא סחיר - תעודות חוב מסחריות"/>
      <sheetName val="לא סחיר - אג&quot;ח קונצרני"/>
      <sheetName val="לא סחיר - מניות"/>
      <sheetName val="לא סחיר - קרנות השקעה"/>
      <sheetName val="לא סחיר - כתבי אופציה"/>
      <sheetName val="לא סחיר - אופציות"/>
      <sheetName val="לא סחיר - חוזים עתידיים"/>
      <sheetName val="לא סחיר - מוצרים מובנים"/>
      <sheetName val="הלוואות"/>
      <sheetName val="פקדונות מעל 3 חודשים"/>
      <sheetName val="זכויות מקרקעין"/>
      <sheetName val="השקעה בחברות מוחזקות"/>
      <sheetName val="השקעות אחרות"/>
      <sheetName val="יתרת התחייבות להשקעה"/>
      <sheetName val="עלות מתואמת אג&quot;ח קונצרני סחיר"/>
      <sheetName val="עלות מתואמת אג&quot;ח קונצרני ל.סחיר"/>
      <sheetName val="עלות מתואמת מסגרות אשראי ללווים"/>
    </sheetNames>
    <sheetDataSet>
      <sheetData sheetId="0">
        <row r="42">
          <cell r="C42">
            <v>3692969.6274983524</v>
          </cell>
        </row>
        <row r="43">
          <cell r="C43">
            <v>64787.435569999994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2"/>
  <sheetViews>
    <sheetView rightToLeft="1" tabSelected="1" workbookViewId="0">
      <selection activeCell="A22" sqref="A2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>
      <c r="B1" s="15" t="s">
        <v>1490</v>
      </c>
    </row>
    <row r="2" spans="2:4">
      <c r="B2" s="15" t="s">
        <v>1489</v>
      </c>
    </row>
    <row r="3" spans="2:4">
      <c r="B3" s="15" t="s">
        <v>2</v>
      </c>
    </row>
    <row r="4" spans="2:4">
      <c r="B4" s="15" t="s">
        <v>3</v>
      </c>
    </row>
    <row r="6" spans="2:4" ht="15.75">
      <c r="B6" s="6" t="s">
        <v>4</v>
      </c>
      <c r="C6" s="7"/>
      <c r="D6" s="7"/>
    </row>
    <row r="7" spans="2:4">
      <c r="B7" s="8" t="s">
        <v>5</v>
      </c>
      <c r="C7" s="8" t="s">
        <v>6</v>
      </c>
      <c r="D7" s="8" t="s">
        <v>7</v>
      </c>
    </row>
    <row r="8" spans="2:4">
      <c r="B8" s="8"/>
      <c r="C8" s="8"/>
      <c r="D8" s="8"/>
    </row>
    <row r="9" spans="2:4">
      <c r="B9" s="7"/>
      <c r="C9" s="7"/>
      <c r="D9" s="7"/>
    </row>
    <row r="10" spans="2:4">
      <c r="B10" s="9" t="s">
        <v>8</v>
      </c>
      <c r="C10" s="9"/>
      <c r="D10" s="9"/>
    </row>
    <row r="11" spans="2:4">
      <c r="B11" s="10" t="s">
        <v>9</v>
      </c>
      <c r="C11" s="106">
        <f>מזומנים!J10</f>
        <v>127213.22</v>
      </c>
      <c r="D11" s="119">
        <f>C11/$C$42</f>
        <v>3.4982816958580423E-2</v>
      </c>
    </row>
    <row r="12" spans="2:4">
      <c r="B12" s="10" t="s">
        <v>10</v>
      </c>
      <c r="C12" s="105">
        <f>C13+C14+C15+C16+C17+C18+C19+C20+C21+C22</f>
        <v>3120119.7053999994</v>
      </c>
      <c r="D12" s="119">
        <f t="shared" ref="D12:D37" si="0">C12/$C$42</f>
        <v>0.85801284287016744</v>
      </c>
    </row>
    <row r="13" spans="2:4">
      <c r="B13" s="10" t="s">
        <v>11</v>
      </c>
      <c r="C13" s="11">
        <f>'תעודות התחייבות ממשלתיות'!N11</f>
        <v>1251200.73</v>
      </c>
      <c r="D13" s="12">
        <f t="shared" si="0"/>
        <v>0.34407215001736613</v>
      </c>
    </row>
    <row r="14" spans="2:4">
      <c r="B14" s="10" t="s">
        <v>12</v>
      </c>
      <c r="C14" s="11">
        <f>'תעודות חוב מסחריות'!Q11</f>
        <v>0</v>
      </c>
      <c r="D14" s="12">
        <f t="shared" si="0"/>
        <v>0</v>
      </c>
    </row>
    <row r="15" spans="2:4">
      <c r="B15" s="10" t="s">
        <v>13</v>
      </c>
      <c r="C15" s="11">
        <f>'אג"ח קונצרני'!Q11</f>
        <v>761302.50999999978</v>
      </c>
      <c r="D15" s="12">
        <f t="shared" si="0"/>
        <v>0.20935329172107925</v>
      </c>
    </row>
    <row r="16" spans="2:4">
      <c r="B16" s="10" t="s">
        <v>14</v>
      </c>
      <c r="C16" s="11">
        <f>מניות!K11</f>
        <v>547693.25969999994</v>
      </c>
      <c r="D16" s="12">
        <f t="shared" si="0"/>
        <v>0.15061212233707588</v>
      </c>
    </row>
    <row r="17" spans="2:4">
      <c r="B17" s="10" t="s">
        <v>15</v>
      </c>
      <c r="C17" s="11">
        <f>'תעודות סל'!J11</f>
        <v>450224.95569999982</v>
      </c>
      <c r="D17" s="12">
        <f t="shared" si="0"/>
        <v>0.12380896588764967</v>
      </c>
    </row>
    <row r="18" spans="2:4">
      <c r="B18" s="10" t="s">
        <v>16</v>
      </c>
      <c r="C18" s="11">
        <f>'קרנות נאמנות'!L12</f>
        <v>106718.72</v>
      </c>
      <c r="D18" s="12">
        <f t="shared" si="0"/>
        <v>2.934696132850026E-2</v>
      </c>
    </row>
    <row r="19" spans="2:4">
      <c r="B19" s="10" t="s">
        <v>17</v>
      </c>
      <c r="C19" s="11">
        <f>'כתבי אופציה'!I11</f>
        <v>158.16</v>
      </c>
      <c r="D19" s="12">
        <f t="shared" si="0"/>
        <v>4.349298233445454E-5</v>
      </c>
    </row>
    <row r="20" spans="2:4">
      <c r="B20" s="10" t="s">
        <v>18</v>
      </c>
      <c r="C20" s="11">
        <f>אופציות!I11</f>
        <v>670.98</v>
      </c>
      <c r="D20" s="12">
        <f t="shared" si="0"/>
        <v>1.845151826427182E-4</v>
      </c>
    </row>
    <row r="21" spans="2:4">
      <c r="B21" s="10" t="s">
        <v>19</v>
      </c>
      <c r="C21" s="11">
        <f>'חוזים עתידיים'!I11</f>
        <v>1496.1300000000133</v>
      </c>
      <c r="D21" s="12">
        <f t="shared" si="0"/>
        <v>4.1142612329317184E-4</v>
      </c>
    </row>
    <row r="22" spans="2:4">
      <c r="B22" s="10" t="s">
        <v>20</v>
      </c>
      <c r="C22" s="11">
        <f>'מוצרים מובנים'!N11</f>
        <v>654.26</v>
      </c>
      <c r="D22" s="12">
        <f t="shared" si="0"/>
        <v>1.7991729022597515E-4</v>
      </c>
    </row>
    <row r="23" spans="2:4">
      <c r="B23" s="10" t="s">
        <v>21</v>
      </c>
      <c r="C23" s="106">
        <f>C24+C25+C26+C27+C28+C29+C30+C31+C32</f>
        <v>207863.946</v>
      </c>
      <c r="D23" s="119">
        <f t="shared" si="0"/>
        <v>5.7161247669119959E-2</v>
      </c>
    </row>
    <row r="24" spans="2:4">
      <c r="B24" s="10" t="s">
        <v>11</v>
      </c>
      <c r="C24" s="11">
        <f>'לא סחיר- תעודות התחייבות ממשלתי'!M11</f>
        <v>0</v>
      </c>
      <c r="D24" s="12">
        <f t="shared" si="0"/>
        <v>0</v>
      </c>
    </row>
    <row r="25" spans="2:4">
      <c r="B25" s="10" t="s">
        <v>22</v>
      </c>
      <c r="C25" s="11">
        <f>'לא סחיר - תעודות חוב מסחריות'!P11</f>
        <v>0</v>
      </c>
      <c r="D25" s="12">
        <f t="shared" si="0"/>
        <v>0</v>
      </c>
    </row>
    <row r="26" spans="2:4">
      <c r="B26" s="10" t="s">
        <v>23</v>
      </c>
      <c r="C26" s="11">
        <f>'לא סחיר - אג"ח קונצרני'!P11</f>
        <v>116156.1</v>
      </c>
      <c r="D26" s="12">
        <f t="shared" si="0"/>
        <v>3.1942180104572178E-2</v>
      </c>
    </row>
    <row r="27" spans="2:4">
      <c r="B27" s="10" t="s">
        <v>24</v>
      </c>
      <c r="C27" s="11">
        <f>'לא סחיר - מניות'!J11</f>
        <v>1765.68</v>
      </c>
      <c r="D27" s="12">
        <f t="shared" si="0"/>
        <v>4.8555063889921409E-4</v>
      </c>
    </row>
    <row r="28" spans="2:4">
      <c r="B28" s="10" t="s">
        <v>25</v>
      </c>
      <c r="C28" s="11">
        <f>'לא סחיר - קרנות השקעה'!H11</f>
        <v>89885.736000000004</v>
      </c>
      <c r="D28" s="12">
        <f t="shared" si="0"/>
        <v>2.4717999038742066E-2</v>
      </c>
    </row>
    <row r="29" spans="2:4">
      <c r="B29" s="10" t="s">
        <v>26</v>
      </c>
      <c r="C29" s="11">
        <f>'לא סחיר - כתבי אופציה'!I11</f>
        <v>0</v>
      </c>
      <c r="D29" s="12">
        <f t="shared" si="0"/>
        <v>0</v>
      </c>
    </row>
    <row r="30" spans="2:4">
      <c r="B30" s="10" t="s">
        <v>27</v>
      </c>
      <c r="C30" s="11">
        <f>'לא סחיר - אופציות'!I11</f>
        <v>0</v>
      </c>
      <c r="D30" s="12">
        <f t="shared" si="0"/>
        <v>0</v>
      </c>
    </row>
    <row r="31" spans="2:4">
      <c r="B31" s="10" t="s">
        <v>28</v>
      </c>
      <c r="C31" s="11">
        <f>'לא סחיר - חוזים עתידיים'!I11</f>
        <v>9.8199999999995722</v>
      </c>
      <c r="D31" s="12">
        <f t="shared" si="0"/>
        <v>2.7004368141396371E-6</v>
      </c>
    </row>
    <row r="32" spans="2:4">
      <c r="B32" s="10" t="s">
        <v>29</v>
      </c>
      <c r="C32" s="11">
        <f>'לא סחיר - מוצרים מובנים'!N11</f>
        <v>46.61</v>
      </c>
      <c r="D32" s="12">
        <f t="shared" si="0"/>
        <v>1.2817450092368022E-5</v>
      </c>
    </row>
    <row r="33" spans="2:4">
      <c r="B33" s="10" t="s">
        <v>30</v>
      </c>
      <c r="C33" s="106">
        <f>הלוואות!M10</f>
        <v>85431.900000000009</v>
      </c>
      <c r="D33" s="119">
        <f t="shared" si="0"/>
        <v>2.3493222796528119E-2</v>
      </c>
    </row>
    <row r="34" spans="2:4">
      <c r="B34" s="10" t="s">
        <v>31</v>
      </c>
      <c r="C34" s="106">
        <f>'פקדונות מעל 3 חודשים'!M10</f>
        <v>8366.2799999999988</v>
      </c>
      <c r="D34" s="119">
        <f t="shared" si="0"/>
        <v>2.3006731679634566E-3</v>
      </c>
    </row>
    <row r="35" spans="2:4">
      <c r="B35" s="10" t="s">
        <v>32</v>
      </c>
      <c r="C35" s="106">
        <f>'זכויות מקרקעין'!G10</f>
        <v>76253.070000000007</v>
      </c>
      <c r="D35" s="119">
        <f t="shared" si="0"/>
        <v>2.0969103606840706E-2</v>
      </c>
    </row>
    <row r="36" spans="2:4">
      <c r="B36" s="10" t="s">
        <v>33</v>
      </c>
      <c r="C36" s="106">
        <v>0</v>
      </c>
      <c r="D36" s="119">
        <f t="shared" si="0"/>
        <v>0</v>
      </c>
    </row>
    <row r="37" spans="2:4">
      <c r="B37" s="10" t="s">
        <v>34</v>
      </c>
      <c r="C37" s="106">
        <f>'השקעות אחרות'!I10</f>
        <v>11200.6</v>
      </c>
      <c r="D37" s="119">
        <f t="shared" si="0"/>
        <v>3.0800929307997697E-3</v>
      </c>
    </row>
    <row r="38" spans="2:4">
      <c r="B38" s="9" t="s">
        <v>35</v>
      </c>
      <c r="C38" s="9"/>
      <c r="D38" s="9"/>
    </row>
    <row r="39" spans="2:4">
      <c r="B39" s="10" t="s">
        <v>36</v>
      </c>
      <c r="C39" s="11">
        <v>0</v>
      </c>
      <c r="D39" s="12">
        <v>0</v>
      </c>
    </row>
    <row r="40" spans="2:4">
      <c r="B40" s="10" t="s">
        <v>37</v>
      </c>
      <c r="C40" s="11">
        <v>0</v>
      </c>
      <c r="D40" s="12">
        <v>0</v>
      </c>
    </row>
    <row r="41" spans="2:4">
      <c r="B41" s="10" t="s">
        <v>38</v>
      </c>
      <c r="C41" s="11">
        <v>0</v>
      </c>
      <c r="D41" s="12">
        <v>0</v>
      </c>
    </row>
    <row r="42" spans="2:4">
      <c r="B42" s="8" t="s">
        <v>39</v>
      </c>
      <c r="C42" s="13">
        <f>C37+C36+C35+C34+C33+C23+C12+C11</f>
        <v>3636448.7213999997</v>
      </c>
      <c r="D42" s="14">
        <f>D37+D36+D35+D34+D33+D23+D12+D11</f>
        <v>0.99999999999999989</v>
      </c>
    </row>
    <row r="43" spans="2:4">
      <c r="B43" s="10" t="s">
        <v>40</v>
      </c>
      <c r="C43" s="11">
        <f>'יתרת התחייבות להשקעה'!D10</f>
        <v>60600.611999999994</v>
      </c>
      <c r="D43" s="12">
        <v>0</v>
      </c>
    </row>
    <row r="45" spans="2:4">
      <c r="B45" s="2"/>
      <c r="C45" s="2" t="s">
        <v>41</v>
      </c>
      <c r="D45" s="2" t="s">
        <v>42</v>
      </c>
    </row>
    <row r="47" spans="2:4">
      <c r="C47" s="3" t="s">
        <v>43</v>
      </c>
      <c r="D47" s="4">
        <v>3.8439999999999999</v>
      </c>
    </row>
    <row r="48" spans="2:4">
      <c r="C48" s="3" t="s">
        <v>44</v>
      </c>
      <c r="D48" s="4">
        <v>3.2959000000000001</v>
      </c>
    </row>
    <row r="49" spans="3:4">
      <c r="C49" s="3" t="s">
        <v>45</v>
      </c>
      <c r="D49" s="4">
        <v>4.7061999999999999</v>
      </c>
    </row>
    <row r="50" spans="3:4">
      <c r="C50" s="3" t="s">
        <v>46</v>
      </c>
      <c r="D50" s="4">
        <v>3.7509000000000001</v>
      </c>
    </row>
    <row r="51" spans="3:4">
      <c r="C51" s="3" t="s">
        <v>47</v>
      </c>
      <c r="D51" s="4">
        <v>2.8414000000000001</v>
      </c>
    </row>
    <row r="52" spans="3:4">
      <c r="C52" s="3" t="s">
        <v>48</v>
      </c>
      <c r="D52" s="4">
        <v>4.0201000000000002</v>
      </c>
    </row>
    <row r="53" spans="3:4">
      <c r="C53" s="3" t="s">
        <v>49</v>
      </c>
      <c r="D53" s="4">
        <v>0.4209</v>
      </c>
    </row>
    <row r="54" spans="3:4">
      <c r="C54" s="3" t="s">
        <v>50</v>
      </c>
      <c r="D54" s="4">
        <v>5.4172000000000002</v>
      </c>
    </row>
    <row r="55" spans="3:4">
      <c r="C55" s="3" t="s">
        <v>51</v>
      </c>
      <c r="D55" s="4">
        <v>0.54079999999999995</v>
      </c>
    </row>
    <row r="56" spans="3:4">
      <c r="C56" s="3" t="s">
        <v>52</v>
      </c>
      <c r="D56" s="4">
        <v>0.28120000000000001</v>
      </c>
    </row>
    <row r="57" spans="3:4">
      <c r="C57" s="3" t="s">
        <v>53</v>
      </c>
      <c r="D57" s="4">
        <v>2.7717000000000001</v>
      </c>
    </row>
    <row r="58" spans="3:4">
      <c r="C58" s="3" t="s">
        <v>54</v>
      </c>
      <c r="D58" s="4">
        <v>0.17810000000000001</v>
      </c>
    </row>
    <row r="59" spans="3:4">
      <c r="C59" s="3" t="s">
        <v>55</v>
      </c>
      <c r="D59" s="4">
        <v>9.6624999999999996</v>
      </c>
    </row>
    <row r="60" spans="3:4">
      <c r="C60" s="3" t="s">
        <v>56</v>
      </c>
      <c r="D60" s="4">
        <v>0.4425</v>
      </c>
    </row>
    <row r="61" spans="3:4">
      <c r="C61" s="3" t="s">
        <v>57</v>
      </c>
      <c r="D61" s="4">
        <v>0.53149999999999997</v>
      </c>
    </row>
    <row r="62" spans="3:4">
      <c r="C62" s="3" t="s">
        <v>58</v>
      </c>
      <c r="D62" s="4">
        <v>0.185449</v>
      </c>
    </row>
    <row r="63" spans="3:4">
      <c r="C63" s="3" t="s">
        <v>59</v>
      </c>
      <c r="D63" s="4">
        <v>6.3500000000000001E-2</v>
      </c>
    </row>
    <row r="64" spans="3:4">
      <c r="C64" s="3" t="s">
        <v>60</v>
      </c>
      <c r="D64" s="4">
        <v>1.1813880000000001</v>
      </c>
    </row>
    <row r="65" spans="3:4">
      <c r="C65" s="3" t="s">
        <v>61</v>
      </c>
      <c r="D65" s="4">
        <v>3.3660000000000002E-2</v>
      </c>
    </row>
    <row r="66" spans="3:4">
      <c r="C66" s="3" t="s">
        <v>62</v>
      </c>
      <c r="D66" s="4">
        <v>5.6446000000000003E-2</v>
      </c>
    </row>
    <row r="67" spans="3:4">
      <c r="C67" s="3" t="s">
        <v>63</v>
      </c>
      <c r="D67" s="4">
        <v>0.1069</v>
      </c>
    </row>
    <row r="68" spans="3:4">
      <c r="C68" s="3" t="s">
        <v>64</v>
      </c>
      <c r="D68" s="4">
        <v>0.11899999999999999</v>
      </c>
    </row>
    <row r="69" spans="3:4">
      <c r="C69" s="3" t="s">
        <v>65</v>
      </c>
      <c r="D69" s="4">
        <v>0.38480999999999999</v>
      </c>
    </row>
    <row r="70" spans="3:4">
      <c r="C70" s="3" t="s">
        <v>66</v>
      </c>
      <c r="D70" s="4">
        <v>2.6694</v>
      </c>
    </row>
    <row r="71" spans="3:4">
      <c r="C71" s="3" t="s">
        <v>67</v>
      </c>
      <c r="D71" s="4">
        <v>1.0888</v>
      </c>
    </row>
    <row r="72" spans="3:4">
      <c r="C72" s="3" t="s">
        <v>68</v>
      </c>
      <c r="D72" s="4">
        <v>0.49559999999999998</v>
      </c>
    </row>
    <row r="73" spans="3:4">
      <c r="C73" s="3" t="s">
        <v>69</v>
      </c>
      <c r="D73" s="4">
        <v>2.6507000000000001</v>
      </c>
    </row>
    <row r="74" spans="3:4">
      <c r="C74" s="3" t="s">
        <v>70</v>
      </c>
      <c r="D74" s="4">
        <v>0.55110000000000003</v>
      </c>
    </row>
    <row r="75" spans="3:4">
      <c r="C75" s="3" t="s">
        <v>71</v>
      </c>
      <c r="D75" s="4">
        <v>0.91039999999999999</v>
      </c>
    </row>
    <row r="76" spans="3:4">
      <c r="C76" s="3" t="s">
        <v>72</v>
      </c>
      <c r="D76" s="4">
        <v>1.2952999999999999</v>
      </c>
    </row>
    <row r="77" spans="3:4">
      <c r="C77" s="3" t="s">
        <v>73</v>
      </c>
      <c r="D77" s="4">
        <v>0.14860000000000001</v>
      </c>
    </row>
    <row r="78" spans="3:4">
      <c r="C78" s="3" t="s">
        <v>74</v>
      </c>
      <c r="D78" s="4">
        <v>0.41339999999999999</v>
      </c>
    </row>
    <row r="79" spans="3:4">
      <c r="C79" s="3" t="s">
        <v>75</v>
      </c>
      <c r="D79" s="4">
        <v>3.2496999999999998</v>
      </c>
    </row>
    <row r="82" spans="2:2">
      <c r="B82" s="2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rightToLeft="1" topLeftCell="B1" workbookViewId="0">
      <selection activeCell="B6" sqref="B6:L9"/>
    </sheetView>
  </sheetViews>
  <sheetFormatPr defaultColWidth="9.140625" defaultRowHeight="12.75"/>
  <cols>
    <col min="1" max="1" width="9.140625" hidden="1" customWidth="1"/>
    <col min="2" max="2" width="37.7109375" customWidth="1"/>
    <col min="3" max="4" width="12.7109375" customWidth="1"/>
    <col min="5" max="7" width="11.7109375" customWidth="1"/>
    <col min="8" max="8" width="12.7109375" customWidth="1"/>
    <col min="9" max="9" width="11.7109375" customWidth="1"/>
    <col min="10" max="10" width="24.7109375" customWidth="1"/>
    <col min="11" max="11" width="27.7109375" customWidth="1"/>
    <col min="12" max="12" width="20.7109375" customWidth="1"/>
  </cols>
  <sheetData>
    <row r="1" spans="2:12">
      <c r="B1" s="15" t="s">
        <v>1490</v>
      </c>
    </row>
    <row r="2" spans="2:12">
      <c r="B2" s="15" t="s">
        <v>1489</v>
      </c>
    </row>
    <row r="3" spans="2:12">
      <c r="B3" s="15" t="s">
        <v>2</v>
      </c>
    </row>
    <row r="4" spans="2:12">
      <c r="B4" s="15" t="s">
        <v>3</v>
      </c>
    </row>
    <row r="6" spans="2:12">
      <c r="B6" s="113" t="s">
        <v>122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2:12">
      <c r="B7" s="49" t="s">
        <v>1155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2:12">
      <c r="B8" s="49" t="s">
        <v>78</v>
      </c>
      <c r="C8" s="49" t="s">
        <v>79</v>
      </c>
      <c r="D8" s="49" t="s">
        <v>124</v>
      </c>
      <c r="E8" s="49" t="s">
        <v>205</v>
      </c>
      <c r="F8" s="49" t="s">
        <v>83</v>
      </c>
      <c r="G8" s="49" t="s">
        <v>127</v>
      </c>
      <c r="H8" s="49" t="s">
        <v>42</v>
      </c>
      <c r="I8" s="49" t="s">
        <v>86</v>
      </c>
      <c r="J8" s="49" t="s">
        <v>128</v>
      </c>
      <c r="K8" s="49" t="s">
        <v>129</v>
      </c>
      <c r="L8" s="49" t="s">
        <v>88</v>
      </c>
    </row>
    <row r="9" spans="2:12">
      <c r="B9" s="113"/>
      <c r="C9" s="113"/>
      <c r="D9" s="113"/>
      <c r="E9" s="113"/>
      <c r="F9" s="113"/>
      <c r="G9" s="113" t="s">
        <v>132</v>
      </c>
      <c r="H9" s="113" t="s">
        <v>133</v>
      </c>
      <c r="I9" s="113" t="s">
        <v>90</v>
      </c>
      <c r="J9" s="113" t="s">
        <v>89</v>
      </c>
      <c r="K9" s="113" t="s">
        <v>89</v>
      </c>
      <c r="L9" s="113" t="s">
        <v>89</v>
      </c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2:12">
      <c r="B11" s="8" t="s">
        <v>1156</v>
      </c>
      <c r="C11" s="38"/>
      <c r="D11" s="8"/>
      <c r="E11" s="8"/>
      <c r="F11" s="8"/>
      <c r="G11" s="13">
        <f>G15</f>
        <v>0</v>
      </c>
      <c r="H11" s="13"/>
      <c r="I11" s="13">
        <f t="shared" ref="I11:L11" si="0">I15</f>
        <v>670.98</v>
      </c>
      <c r="J11" s="13"/>
      <c r="K11" s="14">
        <f t="shared" si="0"/>
        <v>1.0000000000000002</v>
      </c>
      <c r="L11" s="14">
        <f t="shared" si="0"/>
        <v>1.845151826427182E-4</v>
      </c>
    </row>
    <row r="12" spans="2:12">
      <c r="B12" s="8"/>
      <c r="C12" s="38"/>
      <c r="D12" s="8"/>
      <c r="E12" s="8"/>
      <c r="F12" s="8"/>
      <c r="G12" s="13"/>
      <c r="H12" s="7"/>
      <c r="I12" s="13"/>
      <c r="J12" s="7"/>
      <c r="K12" s="14"/>
      <c r="L12" s="14"/>
    </row>
    <row r="13" spans="2:12">
      <c r="B13" s="8" t="s">
        <v>1157</v>
      </c>
      <c r="C13" s="38"/>
      <c r="D13" s="8"/>
      <c r="E13" s="8"/>
      <c r="F13" s="8"/>
      <c r="G13" s="13">
        <v>0</v>
      </c>
      <c r="H13" s="7"/>
      <c r="I13" s="13">
        <v>670.98</v>
      </c>
      <c r="J13" s="7"/>
      <c r="K13" s="14">
        <f>K15</f>
        <v>1.0000000000000002</v>
      </c>
      <c r="L13" s="14">
        <f>L15</f>
        <v>1.845151826427182E-4</v>
      </c>
    </row>
    <row r="14" spans="2:12">
      <c r="B14" s="8"/>
      <c r="C14" s="38"/>
      <c r="D14" s="8"/>
      <c r="E14" s="8"/>
      <c r="F14" s="8"/>
      <c r="G14" s="13"/>
      <c r="H14" s="7"/>
      <c r="I14" s="13"/>
      <c r="J14" s="7"/>
      <c r="K14" s="14"/>
      <c r="L14" s="14"/>
    </row>
    <row r="15" spans="2:12">
      <c r="B15" s="39" t="s">
        <v>1158</v>
      </c>
      <c r="C15" s="40"/>
      <c r="D15" s="39"/>
      <c r="E15" s="39"/>
      <c r="F15" s="39"/>
      <c r="G15" s="42">
        <v>0</v>
      </c>
      <c r="H15" s="7"/>
      <c r="I15" s="42">
        <f>SUM(I16:I19)</f>
        <v>670.98</v>
      </c>
      <c r="J15" s="42"/>
      <c r="K15" s="14">
        <f t="shared" ref="K15" si="1">SUM(K16:K19)</f>
        <v>1.0000000000000002</v>
      </c>
      <c r="L15" s="14">
        <f>SUM(L16:L19)</f>
        <v>1.845151826427182E-4</v>
      </c>
    </row>
    <row r="16" spans="2:12">
      <c r="B16" s="10" t="s">
        <v>1159</v>
      </c>
      <c r="C16" s="43">
        <v>81789620</v>
      </c>
      <c r="D16" s="10" t="s">
        <v>138</v>
      </c>
      <c r="E16" s="10" t="s">
        <v>1160</v>
      </c>
      <c r="F16" s="10" t="s">
        <v>96</v>
      </c>
      <c r="G16" s="11">
        <v>200</v>
      </c>
      <c r="H16" s="11">
        <v>362400</v>
      </c>
      <c r="I16" s="11">
        <v>724.8</v>
      </c>
      <c r="J16" s="7"/>
      <c r="K16" s="12">
        <v>0.67310000000000003</v>
      </c>
      <c r="L16" s="12">
        <f>I16/'סכום נכסי הקרן'!$C$42</f>
        <v>1.9931533634302384E-4</v>
      </c>
    </row>
    <row r="17" spans="2:12">
      <c r="B17" s="10" t="s">
        <v>1161</v>
      </c>
      <c r="C17" s="43">
        <v>81789638</v>
      </c>
      <c r="D17" s="10" t="s">
        <v>138</v>
      </c>
      <c r="E17" s="10" t="s">
        <v>1160</v>
      </c>
      <c r="F17" s="10" t="s">
        <v>96</v>
      </c>
      <c r="G17" s="11">
        <v>70</v>
      </c>
      <c r="H17" s="11">
        <v>213000</v>
      </c>
      <c r="I17" s="11">
        <v>149.1</v>
      </c>
      <c r="J17" s="7"/>
      <c r="K17" s="12">
        <v>0.13850000000000001</v>
      </c>
      <c r="L17" s="12">
        <f>I17/'סכום נכסי הקרן'!$C$42</f>
        <v>4.1001540630166742E-5</v>
      </c>
    </row>
    <row r="18" spans="2:12">
      <c r="B18" s="10" t="s">
        <v>1162</v>
      </c>
      <c r="C18" s="43">
        <v>81790198</v>
      </c>
      <c r="D18" s="10" t="s">
        <v>138</v>
      </c>
      <c r="E18" s="10" t="s">
        <v>1160</v>
      </c>
      <c r="F18" s="10" t="s">
        <v>96</v>
      </c>
      <c r="G18" s="11">
        <v>-200</v>
      </c>
      <c r="H18" s="11">
        <v>61700</v>
      </c>
      <c r="I18" s="11">
        <v>-123.4</v>
      </c>
      <c r="J18" s="7"/>
      <c r="K18" s="12">
        <v>0.11459999999999999</v>
      </c>
      <c r="L18" s="12">
        <f>I18/'סכום נכסי הקרן'!$C$42</f>
        <v>-3.3934205994383481E-5</v>
      </c>
    </row>
    <row r="19" spans="2:12">
      <c r="B19" s="10" t="s">
        <v>1163</v>
      </c>
      <c r="C19" s="43">
        <v>81790206</v>
      </c>
      <c r="D19" s="10" t="s">
        <v>138</v>
      </c>
      <c r="E19" s="10" t="s">
        <v>1160</v>
      </c>
      <c r="F19" s="10" t="s">
        <v>96</v>
      </c>
      <c r="G19" s="11">
        <v>-70</v>
      </c>
      <c r="H19" s="11">
        <v>113600</v>
      </c>
      <c r="I19" s="11">
        <v>-79.52</v>
      </c>
      <c r="J19" s="7"/>
      <c r="K19" s="12">
        <v>7.3800000000000004E-2</v>
      </c>
      <c r="L19" s="12">
        <f>I19/'סכום נכסי הקרן'!$C$42</f>
        <v>-2.1867488336088929E-5</v>
      </c>
    </row>
    <row r="20" spans="2:12">
      <c r="B20" s="10"/>
      <c r="C20" s="43"/>
      <c r="D20" s="10"/>
      <c r="E20" s="10"/>
      <c r="F20" s="10"/>
      <c r="G20" s="11"/>
      <c r="H20" s="11"/>
      <c r="I20" s="11"/>
      <c r="J20" s="7"/>
      <c r="K20" s="12"/>
      <c r="L20" s="12"/>
    </row>
    <row r="21" spans="2:12">
      <c r="B21" s="39" t="s">
        <v>1164</v>
      </c>
      <c r="C21" s="40"/>
      <c r="D21" s="39"/>
      <c r="E21" s="39"/>
      <c r="F21" s="39"/>
      <c r="G21" s="42">
        <v>0</v>
      </c>
      <c r="H21" s="7"/>
      <c r="I21" s="42">
        <v>0</v>
      </c>
      <c r="J21" s="7"/>
      <c r="K21" s="41">
        <v>0</v>
      </c>
      <c r="L21" s="41">
        <v>0</v>
      </c>
    </row>
    <row r="22" spans="2:12">
      <c r="B22" s="39" t="s">
        <v>1165</v>
      </c>
      <c r="C22" s="40"/>
      <c r="D22" s="39"/>
      <c r="E22" s="39"/>
      <c r="F22" s="39"/>
      <c r="G22" s="42">
        <v>0</v>
      </c>
      <c r="H22" s="7"/>
      <c r="I22" s="42">
        <v>0</v>
      </c>
      <c r="J22" s="7"/>
      <c r="K22" s="41">
        <v>0</v>
      </c>
      <c r="L22" s="41">
        <v>0</v>
      </c>
    </row>
    <row r="23" spans="2:12">
      <c r="B23" s="39" t="s">
        <v>1166</v>
      </c>
      <c r="C23" s="40"/>
      <c r="D23" s="39"/>
      <c r="E23" s="39"/>
      <c r="F23" s="39"/>
      <c r="G23" s="42">
        <v>0</v>
      </c>
      <c r="H23" s="7"/>
      <c r="I23" s="42">
        <v>0</v>
      </c>
      <c r="J23" s="7"/>
      <c r="K23" s="41">
        <v>0</v>
      </c>
      <c r="L23" s="41">
        <v>0</v>
      </c>
    </row>
    <row r="24" spans="2:12">
      <c r="B24" s="39"/>
      <c r="C24" s="40"/>
      <c r="D24" s="39"/>
      <c r="E24" s="39"/>
      <c r="F24" s="39"/>
      <c r="G24" s="42"/>
      <c r="H24" s="7"/>
      <c r="I24" s="42"/>
      <c r="J24" s="7"/>
      <c r="K24" s="41"/>
      <c r="L24" s="41"/>
    </row>
    <row r="25" spans="2:12">
      <c r="B25" s="8" t="s">
        <v>1167</v>
      </c>
      <c r="C25" s="38"/>
      <c r="D25" s="8"/>
      <c r="E25" s="8"/>
      <c r="F25" s="8"/>
      <c r="G25" s="13">
        <v>0</v>
      </c>
      <c r="H25" s="7"/>
      <c r="I25" s="13">
        <v>0</v>
      </c>
      <c r="J25" s="7"/>
      <c r="K25" s="14">
        <v>0</v>
      </c>
      <c r="L25" s="14">
        <v>0</v>
      </c>
    </row>
    <row r="26" spans="2:12">
      <c r="B26" s="39" t="s">
        <v>1158</v>
      </c>
      <c r="C26" s="40"/>
      <c r="D26" s="39"/>
      <c r="E26" s="39"/>
      <c r="F26" s="39"/>
      <c r="G26" s="42">
        <v>0</v>
      </c>
      <c r="H26" s="7"/>
      <c r="I26" s="42">
        <v>0</v>
      </c>
      <c r="J26" s="7"/>
      <c r="K26" s="41">
        <v>0</v>
      </c>
      <c r="L26" s="41">
        <v>0</v>
      </c>
    </row>
    <row r="27" spans="2:12">
      <c r="B27" s="39" t="s">
        <v>1168</v>
      </c>
      <c r="C27" s="40"/>
      <c r="D27" s="39"/>
      <c r="E27" s="39"/>
      <c r="F27" s="39"/>
      <c r="G27" s="42">
        <v>0</v>
      </c>
      <c r="H27" s="7"/>
      <c r="I27" s="42">
        <v>0</v>
      </c>
      <c r="J27" s="7"/>
      <c r="K27" s="41">
        <v>0</v>
      </c>
      <c r="L27" s="41">
        <v>0</v>
      </c>
    </row>
    <row r="28" spans="2:12">
      <c r="B28" s="39" t="s">
        <v>1165</v>
      </c>
      <c r="C28" s="40"/>
      <c r="D28" s="39"/>
      <c r="E28" s="39"/>
      <c r="F28" s="39"/>
      <c r="G28" s="42">
        <v>0</v>
      </c>
      <c r="H28" s="7"/>
      <c r="I28" s="42">
        <v>0</v>
      </c>
      <c r="J28" s="7"/>
      <c r="K28" s="41">
        <v>0</v>
      </c>
      <c r="L28" s="41">
        <v>0</v>
      </c>
    </row>
    <row r="29" spans="2:12">
      <c r="B29" s="39" t="s">
        <v>1169</v>
      </c>
      <c r="C29" s="40"/>
      <c r="D29" s="39"/>
      <c r="E29" s="39"/>
      <c r="F29" s="39"/>
      <c r="G29" s="42">
        <v>0</v>
      </c>
      <c r="H29" s="7"/>
      <c r="I29" s="42">
        <v>0</v>
      </c>
      <c r="J29" s="7"/>
      <c r="K29" s="41">
        <v>0</v>
      </c>
      <c r="L29" s="41">
        <v>0</v>
      </c>
    </row>
    <row r="30" spans="2:12">
      <c r="B30" s="39" t="s">
        <v>1166</v>
      </c>
      <c r="C30" s="40"/>
      <c r="D30" s="39"/>
      <c r="E30" s="39"/>
      <c r="F30" s="39"/>
      <c r="G30" s="42">
        <v>0</v>
      </c>
      <c r="H30" s="7"/>
      <c r="I30" s="42">
        <v>0</v>
      </c>
      <c r="J30" s="7"/>
      <c r="K30" s="41">
        <v>0</v>
      </c>
      <c r="L30" s="41">
        <v>0</v>
      </c>
    </row>
    <row r="33" spans="2:6">
      <c r="B33" s="3" t="s">
        <v>121</v>
      </c>
      <c r="C33" s="5"/>
      <c r="D33" s="3"/>
      <c r="E33" s="3"/>
      <c r="F33" s="3"/>
    </row>
    <row r="37" spans="2:6">
      <c r="B37" s="2" t="s">
        <v>76</v>
      </c>
    </row>
  </sheetData>
  <mergeCells count="2">
    <mergeCell ref="B6:L6"/>
    <mergeCell ref="B9:L9"/>
  </mergeCell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rightToLeft="1" topLeftCell="C6" workbookViewId="0">
      <selection activeCell="I21" sqref="I21"/>
    </sheetView>
  </sheetViews>
  <sheetFormatPr defaultColWidth="9.140625" defaultRowHeight="12.75"/>
  <cols>
    <col min="1" max="1" width="2.28515625" customWidth="1"/>
    <col min="2" max="2" width="36.7109375" customWidth="1"/>
    <col min="3" max="4" width="12.7109375" customWidth="1"/>
    <col min="5" max="5" width="11.7109375" customWidth="1"/>
    <col min="6" max="6" width="15.7109375" customWidth="1"/>
    <col min="7" max="7" width="16.7109375" customWidth="1"/>
    <col min="8" max="9" width="13.7109375" customWidth="1"/>
    <col min="10" max="10" width="27.7109375" customWidth="1"/>
    <col min="11" max="11" width="20.7109375" customWidth="1"/>
  </cols>
  <sheetData>
    <row r="1" spans="2:11">
      <c r="B1" s="15" t="s">
        <v>1490</v>
      </c>
    </row>
    <row r="2" spans="2:11">
      <c r="B2" s="15" t="s">
        <v>1489</v>
      </c>
    </row>
    <row r="3" spans="2:11">
      <c r="B3" s="15" t="s">
        <v>2</v>
      </c>
    </row>
    <row r="4" spans="2:11">
      <c r="B4" s="15" t="s">
        <v>3</v>
      </c>
    </row>
    <row r="6" spans="2:11">
      <c r="B6" s="113" t="s">
        <v>122</v>
      </c>
      <c r="C6" s="113"/>
      <c r="D6" s="113"/>
      <c r="E6" s="113"/>
      <c r="F6" s="113"/>
      <c r="G6" s="113"/>
      <c r="H6" s="113"/>
      <c r="I6" s="113"/>
      <c r="J6" s="113"/>
      <c r="K6" s="113"/>
    </row>
    <row r="7" spans="2:11">
      <c r="B7" s="49" t="s">
        <v>1170</v>
      </c>
      <c r="C7" s="49"/>
      <c r="D7" s="49"/>
      <c r="E7" s="49"/>
      <c r="F7" s="49"/>
      <c r="G7" s="49"/>
      <c r="H7" s="49"/>
      <c r="I7" s="49"/>
      <c r="J7" s="49"/>
      <c r="K7" s="49"/>
    </row>
    <row r="8" spans="2:11">
      <c r="B8" s="49" t="s">
        <v>78</v>
      </c>
      <c r="C8" s="49" t="s">
        <v>79</v>
      </c>
      <c r="D8" s="49" t="s">
        <v>124</v>
      </c>
      <c r="E8" s="49" t="s">
        <v>205</v>
      </c>
      <c r="F8" s="49" t="s">
        <v>83</v>
      </c>
      <c r="G8" s="49" t="s">
        <v>127</v>
      </c>
      <c r="H8" s="49" t="s">
        <v>42</v>
      </c>
      <c r="I8" s="49" t="s">
        <v>86</v>
      </c>
      <c r="J8" s="49" t="s">
        <v>129</v>
      </c>
      <c r="K8" s="49" t="s">
        <v>88</v>
      </c>
    </row>
    <row r="9" spans="2:11">
      <c r="B9" s="113"/>
      <c r="C9" s="113"/>
      <c r="D9" s="113"/>
      <c r="E9" s="113"/>
      <c r="F9" s="113"/>
      <c r="G9" s="113" t="s">
        <v>132</v>
      </c>
      <c r="H9" s="113" t="s">
        <v>133</v>
      </c>
      <c r="I9" s="113" t="s">
        <v>90</v>
      </c>
      <c r="J9" s="113" t="s">
        <v>89</v>
      </c>
      <c r="K9" s="113" t="s">
        <v>89</v>
      </c>
    </row>
    <row r="10" spans="2:11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1">
      <c r="B11" s="8" t="s">
        <v>1171</v>
      </c>
      <c r="C11" s="38"/>
      <c r="D11" s="8"/>
      <c r="E11" s="8"/>
      <c r="F11" s="8"/>
      <c r="G11" s="13">
        <f>G17</f>
        <v>-7755184</v>
      </c>
      <c r="H11" s="7"/>
      <c r="I11" s="13">
        <f>I17</f>
        <v>1496.1300000000133</v>
      </c>
      <c r="J11" s="14">
        <v>1</v>
      </c>
      <c r="K11" s="14">
        <f>K17</f>
        <v>4.5400000000000003E-2</v>
      </c>
    </row>
    <row r="12" spans="2:11">
      <c r="B12" s="8"/>
      <c r="C12" s="38"/>
      <c r="D12" s="8"/>
      <c r="E12" s="8"/>
      <c r="F12" s="8"/>
      <c r="G12" s="13"/>
      <c r="H12" s="7"/>
      <c r="I12" s="13"/>
      <c r="J12" s="14"/>
      <c r="K12" s="14"/>
    </row>
    <row r="13" spans="2:11">
      <c r="B13" s="8" t="s">
        <v>1172</v>
      </c>
      <c r="C13" s="38"/>
      <c r="D13" s="8"/>
      <c r="E13" s="8"/>
      <c r="F13" s="8"/>
      <c r="G13" s="13">
        <v>0</v>
      </c>
      <c r="H13" s="7"/>
      <c r="I13" s="13">
        <v>0</v>
      </c>
      <c r="J13" s="14">
        <v>0</v>
      </c>
      <c r="K13" s="14">
        <v>0</v>
      </c>
    </row>
    <row r="14" spans="2:11">
      <c r="B14" s="8"/>
      <c r="C14" s="38"/>
      <c r="D14" s="8"/>
      <c r="E14" s="8"/>
      <c r="F14" s="8"/>
      <c r="G14" s="13"/>
      <c r="H14" s="7"/>
      <c r="I14" s="13"/>
      <c r="J14" s="14"/>
      <c r="K14" s="14"/>
    </row>
    <row r="15" spans="2:11">
      <c r="B15" s="39" t="s">
        <v>1173</v>
      </c>
      <c r="C15" s="40"/>
      <c r="D15" s="39"/>
      <c r="E15" s="39"/>
      <c r="F15" s="39"/>
      <c r="G15" s="42">
        <v>0</v>
      </c>
      <c r="H15" s="7"/>
      <c r="I15" s="42">
        <v>0</v>
      </c>
      <c r="J15" s="41">
        <v>0</v>
      </c>
      <c r="K15" s="41">
        <v>0</v>
      </c>
    </row>
    <row r="16" spans="2:11">
      <c r="B16" s="39"/>
      <c r="C16" s="40"/>
      <c r="D16" s="39"/>
      <c r="E16" s="39"/>
      <c r="F16" s="39"/>
      <c r="G16" s="42"/>
      <c r="H16" s="7"/>
      <c r="I16" s="42"/>
      <c r="J16" s="41"/>
      <c r="K16" s="41"/>
    </row>
    <row r="17" spans="2:11">
      <c r="B17" s="8" t="s">
        <v>1174</v>
      </c>
      <c r="C17" s="38"/>
      <c r="D17" s="8"/>
      <c r="E17" s="8"/>
      <c r="F17" s="8"/>
      <c r="G17" s="13">
        <v>-7755184</v>
      </c>
      <c r="H17" s="7"/>
      <c r="I17" s="13">
        <f>I19</f>
        <v>1496.1300000000133</v>
      </c>
      <c r="J17" s="14">
        <v>1</v>
      </c>
      <c r="K17" s="14">
        <v>4.5400000000000003E-2</v>
      </c>
    </row>
    <row r="18" spans="2:11">
      <c r="B18" s="8"/>
      <c r="C18" s="38"/>
      <c r="D18" s="8"/>
      <c r="E18" s="8"/>
      <c r="F18" s="8"/>
      <c r="G18" s="13"/>
      <c r="H18" s="7"/>
      <c r="I18" s="13"/>
      <c r="J18" s="14"/>
      <c r="K18" s="14"/>
    </row>
    <row r="19" spans="2:11">
      <c r="B19" s="39" t="s">
        <v>1175</v>
      </c>
      <c r="C19" s="40"/>
      <c r="D19" s="39"/>
      <c r="E19" s="39"/>
      <c r="F19" s="39"/>
      <c r="G19" s="42">
        <f>SUM(G20:G33)</f>
        <v>-7755184</v>
      </c>
      <c r="H19" s="7"/>
      <c r="I19" s="42">
        <f>SUM(I20:I33)</f>
        <v>1496.1300000000133</v>
      </c>
      <c r="J19" s="41">
        <v>1</v>
      </c>
      <c r="K19" s="41">
        <v>4.5400000000000003E-2</v>
      </c>
    </row>
    <row r="20" spans="2:11">
      <c r="B20" s="10" t="s">
        <v>1176</v>
      </c>
      <c r="C20" s="43" t="s">
        <v>1177</v>
      </c>
      <c r="D20" s="10" t="s">
        <v>184</v>
      </c>
      <c r="E20" s="10" t="s">
        <v>1160</v>
      </c>
      <c r="F20" s="10" t="s">
        <v>43</v>
      </c>
      <c r="G20" s="11">
        <v>51</v>
      </c>
      <c r="H20" s="11">
        <v>1909000</v>
      </c>
      <c r="I20" s="11">
        <f>18712.4-71.07</f>
        <v>18641.330000000002</v>
      </c>
      <c r="J20" s="12">
        <v>0.108</v>
      </c>
      <c r="K20" s="12">
        <v>4.8999999999999998E-3</v>
      </c>
    </row>
    <row r="21" spans="2:11">
      <c r="B21" s="10" t="s">
        <v>1176</v>
      </c>
      <c r="C21" s="43" t="s">
        <v>1177</v>
      </c>
      <c r="D21" s="10" t="s">
        <v>184</v>
      </c>
      <c r="E21" s="10" t="s">
        <v>1160</v>
      </c>
      <c r="F21" s="10" t="s">
        <v>43</v>
      </c>
      <c r="G21" s="11">
        <v>58</v>
      </c>
      <c r="H21" s="11">
        <v>1909000</v>
      </c>
      <c r="I21" s="11">
        <v>21280.77</v>
      </c>
      <c r="J21" s="12">
        <v>0.12280000000000001</v>
      </c>
      <c r="K21" s="12">
        <v>5.5999999999999999E-3</v>
      </c>
    </row>
    <row r="22" spans="2:11">
      <c r="B22" s="10" t="s">
        <v>1178</v>
      </c>
      <c r="C22" s="43" t="s">
        <v>1177</v>
      </c>
      <c r="D22" s="10" t="s">
        <v>184</v>
      </c>
      <c r="E22" s="10" t="s">
        <v>1160</v>
      </c>
      <c r="F22" s="10" t="s">
        <v>43</v>
      </c>
      <c r="G22" s="11">
        <v>-4419600</v>
      </c>
      <c r="H22" s="11">
        <v>100</v>
      </c>
      <c r="I22" s="11">
        <v>-16988.939999999999</v>
      </c>
      <c r="J22" s="12">
        <v>9.8100000000000007E-2</v>
      </c>
      <c r="K22" s="12">
        <v>4.4999999999999997E-3</v>
      </c>
    </row>
    <row r="23" spans="2:11">
      <c r="B23" s="10" t="s">
        <v>1178</v>
      </c>
      <c r="C23" s="43" t="s">
        <v>1177</v>
      </c>
      <c r="D23" s="10" t="s">
        <v>184</v>
      </c>
      <c r="E23" s="10" t="s">
        <v>1160</v>
      </c>
      <c r="F23" s="10" t="s">
        <v>43</v>
      </c>
      <c r="G23" s="11">
        <v>-276225</v>
      </c>
      <c r="H23" s="11">
        <v>100</v>
      </c>
      <c r="I23" s="11">
        <v>-1061.81</v>
      </c>
      <c r="J23" s="12">
        <v>6.1000000000000004E-3</v>
      </c>
      <c r="K23" s="12">
        <v>2.9999999999999997E-4</v>
      </c>
    </row>
    <row r="24" spans="2:11">
      <c r="B24" s="10" t="s">
        <v>1178</v>
      </c>
      <c r="C24" s="43" t="s">
        <v>1177</v>
      </c>
      <c r="D24" s="10" t="s">
        <v>184</v>
      </c>
      <c r="E24" s="10" t="s">
        <v>1160</v>
      </c>
      <c r="F24" s="10" t="s">
        <v>43</v>
      </c>
      <c r="G24" s="11">
        <v>-8</v>
      </c>
      <c r="H24" s="11">
        <v>1841500</v>
      </c>
      <c r="I24" s="11">
        <v>-2831.49</v>
      </c>
      <c r="J24" s="12">
        <v>1.6299999999999999E-2</v>
      </c>
      <c r="K24" s="12">
        <v>6.9999999999999999E-4</v>
      </c>
    </row>
    <row r="25" spans="2:11">
      <c r="B25" s="10" t="s">
        <v>1178</v>
      </c>
      <c r="C25" s="43" t="s">
        <v>1177</v>
      </c>
      <c r="D25" s="10" t="s">
        <v>184</v>
      </c>
      <c r="E25" s="10" t="s">
        <v>1160</v>
      </c>
      <c r="F25" s="10" t="s">
        <v>43</v>
      </c>
      <c r="G25" s="11">
        <v>-50</v>
      </c>
      <c r="H25" s="11">
        <v>1841500</v>
      </c>
      <c r="I25" s="11">
        <v>-17696.810000000001</v>
      </c>
      <c r="J25" s="12">
        <v>0.1021</v>
      </c>
      <c r="K25" s="12">
        <v>4.5999999999999999E-3</v>
      </c>
    </row>
    <row r="26" spans="2:11">
      <c r="B26" s="10" t="s">
        <v>1179</v>
      </c>
      <c r="C26" s="43" t="s">
        <v>1180</v>
      </c>
      <c r="D26" s="10" t="s">
        <v>184</v>
      </c>
      <c r="E26" s="10" t="s">
        <v>1160</v>
      </c>
      <c r="F26" s="10" t="s">
        <v>43</v>
      </c>
      <c r="G26" s="11">
        <v>12</v>
      </c>
      <c r="H26" s="11">
        <v>224510</v>
      </c>
      <c r="I26" s="11">
        <v>25890.49</v>
      </c>
      <c r="J26" s="12">
        <v>0.14940000000000001</v>
      </c>
      <c r="K26" s="12">
        <v>6.7999999999999996E-3</v>
      </c>
    </row>
    <row r="27" spans="2:11">
      <c r="B27" s="10" t="s">
        <v>1179</v>
      </c>
      <c r="C27" s="43" t="s">
        <v>1180</v>
      </c>
      <c r="D27" s="10" t="s">
        <v>184</v>
      </c>
      <c r="E27" s="10" t="s">
        <v>1160</v>
      </c>
      <c r="F27" s="10" t="s">
        <v>43</v>
      </c>
      <c r="G27" s="11">
        <v>4</v>
      </c>
      <c r="H27" s="11">
        <v>224510</v>
      </c>
      <c r="I27" s="11">
        <v>8630.16</v>
      </c>
      <c r="J27" s="12">
        <v>4.9799999999999997E-2</v>
      </c>
      <c r="K27" s="12">
        <v>2.3E-3</v>
      </c>
    </row>
    <row r="28" spans="2:11">
      <c r="B28" s="10" t="s">
        <v>1181</v>
      </c>
      <c r="C28" s="43" t="s">
        <v>1180</v>
      </c>
      <c r="D28" s="10" t="s">
        <v>184</v>
      </c>
      <c r="E28" s="10" t="s">
        <v>1160</v>
      </c>
      <c r="F28" s="10" t="s">
        <v>43</v>
      </c>
      <c r="G28" s="11">
        <v>-12</v>
      </c>
      <c r="H28" s="11">
        <v>225060</v>
      </c>
      <c r="I28" s="11">
        <v>-25953.919999999998</v>
      </c>
      <c r="J28" s="12">
        <v>0.14979999999999999</v>
      </c>
      <c r="K28" s="12">
        <v>6.7999999999999996E-3</v>
      </c>
    </row>
    <row r="29" spans="2:11">
      <c r="B29" s="10" t="s">
        <v>1181</v>
      </c>
      <c r="C29" s="43" t="s">
        <v>1180</v>
      </c>
      <c r="D29" s="10" t="s">
        <v>184</v>
      </c>
      <c r="E29" s="10" t="s">
        <v>1160</v>
      </c>
      <c r="F29" s="10" t="s">
        <v>43</v>
      </c>
      <c r="G29" s="11">
        <v>-2250550</v>
      </c>
      <c r="H29" s="11">
        <v>100</v>
      </c>
      <c r="I29" s="11">
        <v>-8651.11</v>
      </c>
      <c r="J29" s="12">
        <v>4.99E-2</v>
      </c>
      <c r="K29" s="12">
        <v>2.3E-3</v>
      </c>
    </row>
    <row r="30" spans="2:11">
      <c r="B30" s="10" t="s">
        <v>1182</v>
      </c>
      <c r="C30" s="43" t="s">
        <v>1183</v>
      </c>
      <c r="D30" s="10" t="s">
        <v>539</v>
      </c>
      <c r="E30" s="10" t="s">
        <v>1160</v>
      </c>
      <c r="F30" s="10" t="s">
        <v>48</v>
      </c>
      <c r="G30" s="11">
        <v>133</v>
      </c>
      <c r="H30" s="11">
        <v>35830</v>
      </c>
      <c r="I30" s="11">
        <v>9578.67</v>
      </c>
      <c r="J30" s="12">
        <v>5.5300000000000002E-2</v>
      </c>
      <c r="K30" s="12">
        <v>2.5000000000000001E-3</v>
      </c>
    </row>
    <row r="31" spans="2:11">
      <c r="B31" s="10" t="s">
        <v>1182</v>
      </c>
      <c r="C31" s="43" t="s">
        <v>1183</v>
      </c>
      <c r="D31" s="10" t="s">
        <v>539</v>
      </c>
      <c r="E31" s="10" t="s">
        <v>1160</v>
      </c>
      <c r="F31" s="10" t="s">
        <v>48</v>
      </c>
      <c r="G31" s="11">
        <v>46</v>
      </c>
      <c r="H31" s="11">
        <v>35830</v>
      </c>
      <c r="I31" s="11">
        <v>3312.92</v>
      </c>
      <c r="J31" s="12">
        <v>1.9099999999999999E-2</v>
      </c>
      <c r="K31" s="12">
        <v>8.9999999999999998E-4</v>
      </c>
    </row>
    <row r="32" spans="2:11">
      <c r="B32" s="10" t="s">
        <v>1184</v>
      </c>
      <c r="C32" s="43" t="s">
        <v>1183</v>
      </c>
      <c r="D32" s="10" t="s">
        <v>539</v>
      </c>
      <c r="E32" s="10" t="s">
        <v>1160</v>
      </c>
      <c r="F32" s="10" t="s">
        <v>48</v>
      </c>
      <c r="G32" s="11">
        <v>-133</v>
      </c>
      <c r="H32" s="11">
        <v>35170</v>
      </c>
      <c r="I32" s="11">
        <v>-9402.23</v>
      </c>
      <c r="J32" s="12">
        <v>5.4300000000000001E-2</v>
      </c>
      <c r="K32" s="12">
        <v>2.5000000000000001E-3</v>
      </c>
    </row>
    <row r="33" spans="2:11">
      <c r="B33" s="10" t="s">
        <v>1184</v>
      </c>
      <c r="C33" s="43" t="s">
        <v>1183</v>
      </c>
      <c r="D33" s="10" t="s">
        <v>539</v>
      </c>
      <c r="E33" s="10" t="s">
        <v>1160</v>
      </c>
      <c r="F33" s="10" t="s">
        <v>48</v>
      </c>
      <c r="G33" s="11">
        <v>-808910</v>
      </c>
      <c r="H33" s="11">
        <v>100</v>
      </c>
      <c r="I33" s="11">
        <v>-3251.9</v>
      </c>
      <c r="J33" s="12">
        <v>1.8800000000000001E-2</v>
      </c>
      <c r="K33" s="12">
        <v>8.9999999999999998E-4</v>
      </c>
    </row>
    <row r="36" spans="2:11">
      <c r="B36" s="3" t="s">
        <v>121</v>
      </c>
      <c r="C36" s="5"/>
      <c r="D36" s="3"/>
      <c r="E36" s="3"/>
      <c r="F36" s="3"/>
    </row>
    <row r="40" spans="2:11">
      <c r="B40" s="2" t="s">
        <v>76</v>
      </c>
    </row>
  </sheetData>
  <mergeCells count="2">
    <mergeCell ref="B6:K6"/>
    <mergeCell ref="B9:K9"/>
  </mergeCell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topLeftCell="G4" workbookViewId="0">
      <selection activeCell="Q14" sqref="Q14"/>
    </sheetView>
  </sheetViews>
  <sheetFormatPr defaultColWidth="9.140625" defaultRowHeight="12.75"/>
  <cols>
    <col min="1" max="1" width="2.5703125" customWidth="1"/>
    <col min="2" max="2" width="62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4" width="11.7109375" customWidth="1"/>
    <col min="15" max="15" width="24.7109375" customWidth="1"/>
    <col min="16" max="16" width="27.7109375" customWidth="1"/>
    <col min="17" max="17" width="20.7109375" customWidth="1"/>
  </cols>
  <sheetData>
    <row r="1" spans="2:17">
      <c r="B1" s="15" t="s">
        <v>1490</v>
      </c>
    </row>
    <row r="2" spans="2:17">
      <c r="B2" s="15" t="s">
        <v>1489</v>
      </c>
    </row>
    <row r="3" spans="2:17">
      <c r="B3" s="15" t="s">
        <v>2</v>
      </c>
    </row>
    <row r="4" spans="2:17">
      <c r="B4" s="15" t="s">
        <v>3</v>
      </c>
    </row>
    <row r="6" spans="2:17">
      <c r="B6" s="49" t="s">
        <v>122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2:17">
      <c r="B7" s="49" t="s">
        <v>1185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2:17">
      <c r="B8" s="113" t="s">
        <v>78</v>
      </c>
      <c r="C8" s="113" t="s">
        <v>79</v>
      </c>
      <c r="D8" s="113" t="s">
        <v>1186</v>
      </c>
      <c r="E8" s="113" t="s">
        <v>81</v>
      </c>
      <c r="F8" s="113" t="s">
        <v>82</v>
      </c>
      <c r="G8" s="113" t="s">
        <v>125</v>
      </c>
      <c r="H8" s="113" t="s">
        <v>126</v>
      </c>
      <c r="I8" s="113" t="s">
        <v>83</v>
      </c>
      <c r="J8" s="113" t="s">
        <v>84</v>
      </c>
      <c r="K8" s="113" t="s">
        <v>85</v>
      </c>
      <c r="L8" s="113" t="s">
        <v>127</v>
      </c>
      <c r="M8" s="113" t="s">
        <v>42</v>
      </c>
      <c r="N8" s="113" t="s">
        <v>86</v>
      </c>
      <c r="O8" s="113" t="s">
        <v>128</v>
      </c>
      <c r="P8" s="113" t="s">
        <v>129</v>
      </c>
      <c r="Q8" s="113" t="s">
        <v>88</v>
      </c>
    </row>
    <row r="9" spans="2:17">
      <c r="B9" s="49"/>
      <c r="C9" s="49"/>
      <c r="D9" s="49"/>
      <c r="E9" s="49"/>
      <c r="F9" s="49"/>
      <c r="G9" s="49" t="s">
        <v>130</v>
      </c>
      <c r="H9" s="49" t="s">
        <v>131</v>
      </c>
      <c r="I9" s="49"/>
      <c r="J9" s="49" t="s">
        <v>89</v>
      </c>
      <c r="K9" s="49" t="s">
        <v>89</v>
      </c>
      <c r="L9" s="49" t="s">
        <v>132</v>
      </c>
      <c r="M9" s="49" t="s">
        <v>133</v>
      </c>
      <c r="N9" s="49" t="s">
        <v>90</v>
      </c>
      <c r="O9" s="49" t="s">
        <v>89</v>
      </c>
      <c r="P9" s="49" t="s">
        <v>89</v>
      </c>
      <c r="Q9" s="49" t="s">
        <v>89</v>
      </c>
    </row>
    <row r="10" spans="2:17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>
      <c r="B11" s="8" t="s">
        <v>1187</v>
      </c>
      <c r="C11" s="38"/>
      <c r="D11" s="8"/>
      <c r="E11" s="8"/>
      <c r="F11" s="8"/>
      <c r="G11" s="8"/>
      <c r="H11" s="7"/>
      <c r="I11" s="8"/>
      <c r="J11" s="7"/>
      <c r="K11" s="7"/>
      <c r="L11" s="13">
        <f>L13</f>
        <v>1700</v>
      </c>
      <c r="M11" s="13">
        <f t="shared" ref="M11:Q11" si="0">M13</f>
        <v>38486</v>
      </c>
      <c r="N11" s="13">
        <f t="shared" si="0"/>
        <v>654.26</v>
      </c>
      <c r="O11" s="13"/>
      <c r="P11" s="53">
        <f>P13</f>
        <v>1</v>
      </c>
      <c r="Q11" s="53">
        <f t="shared" si="0"/>
        <v>1.7991729022597515E-4</v>
      </c>
    </row>
    <row r="12" spans="2:17">
      <c r="B12" s="8"/>
      <c r="C12" s="38"/>
      <c r="D12" s="8"/>
      <c r="E12" s="8"/>
      <c r="F12" s="8"/>
      <c r="G12" s="8"/>
      <c r="H12" s="7"/>
      <c r="I12" s="8"/>
      <c r="J12" s="7"/>
      <c r="K12" s="7"/>
      <c r="L12" s="13"/>
      <c r="M12" s="7"/>
      <c r="N12" s="13"/>
      <c r="O12" s="7"/>
      <c r="P12" s="14"/>
      <c r="Q12" s="14"/>
    </row>
    <row r="13" spans="2:17">
      <c r="B13" s="8" t="s">
        <v>1188</v>
      </c>
      <c r="C13" s="38"/>
      <c r="D13" s="8"/>
      <c r="E13" s="8"/>
      <c r="F13" s="8"/>
      <c r="G13" s="8"/>
      <c r="H13" s="7"/>
      <c r="I13" s="8"/>
      <c r="J13" s="7"/>
      <c r="K13" s="7"/>
      <c r="L13" s="13">
        <f>L14</f>
        <v>1700</v>
      </c>
      <c r="M13" s="13">
        <f>M14</f>
        <v>38486</v>
      </c>
      <c r="N13" s="13">
        <f>N14</f>
        <v>654.26</v>
      </c>
      <c r="O13" s="13"/>
      <c r="P13" s="53">
        <f>P14</f>
        <v>1</v>
      </c>
      <c r="Q13" s="53">
        <f>Q14</f>
        <v>1.7991729022597515E-4</v>
      </c>
    </row>
    <row r="14" spans="2:17">
      <c r="B14" s="10" t="s">
        <v>1191</v>
      </c>
      <c r="C14" s="43">
        <v>1129139</v>
      </c>
      <c r="D14" s="10" t="s">
        <v>184</v>
      </c>
      <c r="E14" s="10" t="s">
        <v>221</v>
      </c>
      <c r="F14" s="10" t="s">
        <v>95</v>
      </c>
      <c r="G14" s="10"/>
      <c r="H14" s="7"/>
      <c r="I14" s="10" t="s">
        <v>96</v>
      </c>
      <c r="J14" s="44">
        <v>4.0249999999999999E-3</v>
      </c>
      <c r="K14" s="7"/>
      <c r="L14" s="11">
        <v>1700</v>
      </c>
      <c r="M14" s="11">
        <v>38486</v>
      </c>
      <c r="N14" s="11">
        <v>654.26</v>
      </c>
      <c r="O14" s="12">
        <v>2.0000000000000001E-4</v>
      </c>
      <c r="P14" s="12">
        <v>1</v>
      </c>
      <c r="Q14" s="51">
        <f>N14/'סכום נכסי הקרן'!$C$42</f>
        <v>1.7991729022597515E-4</v>
      </c>
    </row>
    <row r="15" spans="2:17">
      <c r="B15" s="39" t="s">
        <v>1189</v>
      </c>
      <c r="C15" s="40"/>
      <c r="D15" s="39"/>
      <c r="E15" s="39"/>
      <c r="F15" s="39"/>
      <c r="G15" s="39"/>
      <c r="H15" s="7"/>
      <c r="I15" s="39"/>
      <c r="J15" s="7"/>
      <c r="K15" s="7"/>
      <c r="L15" s="42">
        <v>0</v>
      </c>
      <c r="M15" s="42"/>
      <c r="N15" s="42">
        <v>0</v>
      </c>
      <c r="O15" s="42"/>
      <c r="P15" s="51">
        <v>0</v>
      </c>
      <c r="Q15" s="51">
        <v>0</v>
      </c>
    </row>
    <row r="16" spans="2:17">
      <c r="B16" s="10"/>
      <c r="C16" s="43"/>
      <c r="D16" s="10"/>
      <c r="E16" s="10"/>
      <c r="F16" s="10"/>
      <c r="G16" s="10"/>
      <c r="H16" s="7"/>
      <c r="I16" s="10"/>
      <c r="J16" s="7"/>
      <c r="K16" s="7"/>
      <c r="L16" s="11"/>
      <c r="M16" s="11"/>
      <c r="N16" s="11"/>
      <c r="O16" s="12"/>
      <c r="P16" s="12"/>
      <c r="Q16" s="12"/>
    </row>
    <row r="17" spans="2:17">
      <c r="B17" s="39" t="s">
        <v>1194</v>
      </c>
      <c r="C17" s="40"/>
      <c r="D17" s="39"/>
      <c r="E17" s="39"/>
      <c r="F17" s="39"/>
      <c r="G17" s="39"/>
      <c r="H17" s="7"/>
      <c r="I17" s="39"/>
      <c r="J17" s="7"/>
      <c r="K17" s="7"/>
      <c r="L17" s="42">
        <v>0</v>
      </c>
      <c r="M17" s="7"/>
      <c r="N17" s="42">
        <v>0</v>
      </c>
      <c r="O17" s="7"/>
      <c r="P17" s="41">
        <v>0</v>
      </c>
      <c r="Q17" s="41">
        <v>0</v>
      </c>
    </row>
    <row r="18" spans="2:17">
      <c r="B18" s="39" t="s">
        <v>1195</v>
      </c>
      <c r="C18" s="40"/>
      <c r="D18" s="39"/>
      <c r="E18" s="39"/>
      <c r="F18" s="39"/>
      <c r="G18" s="39"/>
      <c r="H18" s="7"/>
      <c r="I18" s="39"/>
      <c r="J18" s="7"/>
      <c r="K18" s="7"/>
      <c r="L18" s="42">
        <v>0</v>
      </c>
      <c r="M18" s="7"/>
      <c r="N18" s="42">
        <v>0</v>
      </c>
      <c r="O18" s="7"/>
      <c r="P18" s="41">
        <v>0</v>
      </c>
      <c r="Q18" s="41">
        <v>0</v>
      </c>
    </row>
    <row r="19" spans="2:17">
      <c r="B19" s="39" t="s">
        <v>1196</v>
      </c>
      <c r="C19" s="40"/>
      <c r="D19" s="39"/>
      <c r="E19" s="39"/>
      <c r="F19" s="39"/>
      <c r="G19" s="39"/>
      <c r="H19" s="7"/>
      <c r="I19" s="39"/>
      <c r="J19" s="7"/>
      <c r="K19" s="7"/>
      <c r="L19" s="42">
        <v>0</v>
      </c>
      <c r="M19" s="7"/>
      <c r="N19" s="42">
        <v>0</v>
      </c>
      <c r="O19" s="7"/>
      <c r="P19" s="41">
        <v>0</v>
      </c>
      <c r="Q19" s="41">
        <v>0</v>
      </c>
    </row>
    <row r="20" spans="2:17">
      <c r="B20" s="39" t="s">
        <v>1197</v>
      </c>
      <c r="C20" s="40"/>
      <c r="D20" s="39"/>
      <c r="E20" s="39"/>
      <c r="F20" s="39"/>
      <c r="G20" s="39"/>
      <c r="H20" s="7"/>
      <c r="I20" s="39"/>
      <c r="J20" s="7"/>
      <c r="K20" s="7"/>
      <c r="L20" s="42">
        <v>0</v>
      </c>
      <c r="M20" s="7"/>
      <c r="N20" s="42">
        <v>0</v>
      </c>
      <c r="O20" s="7"/>
      <c r="P20" s="41">
        <v>0</v>
      </c>
      <c r="Q20" s="41">
        <v>0</v>
      </c>
    </row>
    <row r="21" spans="2:17">
      <c r="B21" s="39" t="s">
        <v>1198</v>
      </c>
      <c r="C21" s="40"/>
      <c r="D21" s="39"/>
      <c r="E21" s="39"/>
      <c r="F21" s="39"/>
      <c r="G21" s="39"/>
      <c r="H21" s="7"/>
      <c r="I21" s="39"/>
      <c r="J21" s="7"/>
      <c r="K21" s="7"/>
      <c r="L21" s="42">
        <v>0</v>
      </c>
      <c r="M21" s="7"/>
      <c r="N21" s="42">
        <v>0</v>
      </c>
      <c r="O21" s="7"/>
      <c r="P21" s="41">
        <v>0</v>
      </c>
      <c r="Q21" s="41">
        <v>0</v>
      </c>
    </row>
    <row r="22" spans="2:17">
      <c r="B22" s="8" t="s">
        <v>1199</v>
      </c>
      <c r="C22" s="38"/>
      <c r="D22" s="8"/>
      <c r="E22" s="8"/>
      <c r="F22" s="8"/>
      <c r="G22" s="8"/>
      <c r="H22" s="7"/>
      <c r="I22" s="8"/>
      <c r="J22" s="7"/>
      <c r="K22" s="7"/>
      <c r="L22" s="13">
        <v>0</v>
      </c>
      <c r="M22" s="7"/>
      <c r="N22" s="13">
        <v>0</v>
      </c>
      <c r="O22" s="7"/>
      <c r="P22" s="14">
        <v>0</v>
      </c>
      <c r="Q22" s="14">
        <v>0</v>
      </c>
    </row>
    <row r="23" spans="2:17">
      <c r="B23" s="39" t="s">
        <v>1189</v>
      </c>
      <c r="C23" s="40"/>
      <c r="D23" s="39"/>
      <c r="E23" s="39"/>
      <c r="F23" s="39"/>
      <c r="G23" s="39"/>
      <c r="H23" s="7"/>
      <c r="I23" s="39"/>
      <c r="J23" s="7"/>
      <c r="K23" s="7"/>
      <c r="L23" s="42">
        <v>0</v>
      </c>
      <c r="M23" s="7"/>
      <c r="N23" s="42">
        <v>0</v>
      </c>
      <c r="O23" s="7"/>
      <c r="P23" s="41">
        <v>0</v>
      </c>
      <c r="Q23" s="41">
        <v>0</v>
      </c>
    </row>
    <row r="24" spans="2:17">
      <c r="B24" s="39" t="s">
        <v>1194</v>
      </c>
      <c r="C24" s="40"/>
      <c r="D24" s="39"/>
      <c r="E24" s="39"/>
      <c r="F24" s="39"/>
      <c r="G24" s="39"/>
      <c r="H24" s="7"/>
      <c r="I24" s="39"/>
      <c r="J24" s="7"/>
      <c r="K24" s="7"/>
      <c r="L24" s="42">
        <v>0</v>
      </c>
      <c r="M24" s="7"/>
      <c r="N24" s="42">
        <v>0</v>
      </c>
      <c r="O24" s="7"/>
      <c r="P24" s="41">
        <v>0</v>
      </c>
      <c r="Q24" s="41">
        <v>0</v>
      </c>
    </row>
    <row r="25" spans="2:17">
      <c r="B25" s="39" t="s">
        <v>1195</v>
      </c>
      <c r="C25" s="40"/>
      <c r="D25" s="39"/>
      <c r="E25" s="39"/>
      <c r="F25" s="39"/>
      <c r="G25" s="39"/>
      <c r="H25" s="7"/>
      <c r="I25" s="39"/>
      <c r="J25" s="7"/>
      <c r="K25" s="7"/>
      <c r="L25" s="42">
        <v>0</v>
      </c>
      <c r="M25" s="7"/>
      <c r="N25" s="42">
        <v>0</v>
      </c>
      <c r="O25" s="7"/>
      <c r="P25" s="41">
        <v>0</v>
      </c>
      <c r="Q25" s="41">
        <v>0</v>
      </c>
    </row>
    <row r="26" spans="2:17">
      <c r="B26" s="39" t="s">
        <v>1196</v>
      </c>
      <c r="C26" s="40"/>
      <c r="D26" s="39"/>
      <c r="E26" s="39"/>
      <c r="F26" s="39"/>
      <c r="G26" s="39"/>
      <c r="H26" s="7"/>
      <c r="I26" s="39"/>
      <c r="J26" s="7"/>
      <c r="K26" s="7"/>
      <c r="L26" s="42">
        <v>0</v>
      </c>
      <c r="M26" s="7"/>
      <c r="N26" s="42">
        <v>0</v>
      </c>
      <c r="O26" s="7"/>
      <c r="P26" s="41">
        <v>0</v>
      </c>
      <c r="Q26" s="41">
        <v>0</v>
      </c>
    </row>
    <row r="27" spans="2:17">
      <c r="B27" s="39" t="s">
        <v>1197</v>
      </c>
      <c r="C27" s="40"/>
      <c r="D27" s="39"/>
      <c r="E27" s="39"/>
      <c r="F27" s="39"/>
      <c r="G27" s="39"/>
      <c r="H27" s="7"/>
      <c r="I27" s="39"/>
      <c r="J27" s="7"/>
      <c r="K27" s="7"/>
      <c r="L27" s="42">
        <v>0</v>
      </c>
      <c r="M27" s="7"/>
      <c r="N27" s="42">
        <v>0</v>
      </c>
      <c r="O27" s="7"/>
      <c r="P27" s="41">
        <v>0</v>
      </c>
      <c r="Q27" s="41">
        <v>0</v>
      </c>
    </row>
    <row r="28" spans="2:17">
      <c r="B28" s="39" t="s">
        <v>1198</v>
      </c>
      <c r="C28" s="40"/>
      <c r="D28" s="39"/>
      <c r="E28" s="39"/>
      <c r="F28" s="39"/>
      <c r="G28" s="39"/>
      <c r="H28" s="7"/>
      <c r="I28" s="39"/>
      <c r="J28" s="7"/>
      <c r="K28" s="7"/>
      <c r="L28" s="42">
        <v>0</v>
      </c>
      <c r="M28" s="7"/>
      <c r="N28" s="42">
        <v>0</v>
      </c>
      <c r="O28" s="7"/>
      <c r="P28" s="41">
        <v>0</v>
      </c>
      <c r="Q28" s="41">
        <v>0</v>
      </c>
    </row>
    <row r="31" spans="2:17">
      <c r="B31" s="3" t="s">
        <v>121</v>
      </c>
      <c r="C31" s="5"/>
      <c r="D31" s="3"/>
      <c r="E31" s="3"/>
      <c r="F31" s="3"/>
      <c r="G31" s="3"/>
      <c r="I31" s="3"/>
    </row>
    <row r="35" spans="2:2">
      <c r="B35" s="2" t="s">
        <v>76</v>
      </c>
    </row>
  </sheetData>
  <mergeCells count="2">
    <mergeCell ref="B8:K8"/>
    <mergeCell ref="L8:Q8"/>
  </mergeCell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topLeftCell="I1" workbookViewId="0">
      <selection activeCell="B6" sqref="B6:P9"/>
    </sheetView>
  </sheetViews>
  <sheetFormatPr defaultColWidth="9.140625" defaultRowHeight="12.75"/>
  <cols>
    <col min="1" max="1" width="1.7109375" customWidth="1"/>
    <col min="2" max="2" width="49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7.7109375" customWidth="1"/>
    <col min="16" max="16" width="20.7109375" customWidth="1"/>
  </cols>
  <sheetData>
    <row r="1" spans="2:16">
      <c r="B1" s="15" t="s">
        <v>1490</v>
      </c>
    </row>
    <row r="2" spans="2:16">
      <c r="B2" s="15" t="s">
        <v>1489</v>
      </c>
    </row>
    <row r="3" spans="2:16">
      <c r="B3" s="15" t="s">
        <v>2</v>
      </c>
    </row>
    <row r="4" spans="2:16">
      <c r="B4" s="15" t="s">
        <v>3</v>
      </c>
    </row>
    <row r="6" spans="2:16">
      <c r="B6" s="49" t="s">
        <v>1200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16">
      <c r="B7" s="49" t="s">
        <v>123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2:16">
      <c r="B8" s="113" t="s">
        <v>78</v>
      </c>
      <c r="C8" s="113" t="s">
        <v>79</v>
      </c>
      <c r="D8" s="113" t="s">
        <v>81</v>
      </c>
      <c r="E8" s="113" t="s">
        <v>82</v>
      </c>
      <c r="F8" s="113" t="s">
        <v>125</v>
      </c>
      <c r="G8" s="113" t="s">
        <v>126</v>
      </c>
      <c r="H8" s="113" t="s">
        <v>83</v>
      </c>
      <c r="I8" s="113" t="s">
        <v>84</v>
      </c>
      <c r="J8" s="113" t="s">
        <v>85</v>
      </c>
      <c r="K8" s="113" t="s">
        <v>127</v>
      </c>
      <c r="L8" s="113" t="s">
        <v>42</v>
      </c>
      <c r="M8" s="113" t="s">
        <v>1201</v>
      </c>
      <c r="N8" s="113" t="s">
        <v>128</v>
      </c>
      <c r="O8" s="113" t="s">
        <v>129</v>
      </c>
      <c r="P8" s="113" t="s">
        <v>88</v>
      </c>
    </row>
    <row r="9" spans="2:16">
      <c r="B9" s="49"/>
      <c r="C9" s="49"/>
      <c r="D9" s="49"/>
      <c r="E9" s="49"/>
      <c r="F9" s="49" t="s">
        <v>130</v>
      </c>
      <c r="G9" s="49" t="s">
        <v>131</v>
      </c>
      <c r="H9" s="49"/>
      <c r="I9" s="49" t="s">
        <v>89</v>
      </c>
      <c r="J9" s="49" t="s">
        <v>89</v>
      </c>
      <c r="K9" s="49" t="s">
        <v>132</v>
      </c>
      <c r="L9" s="49" t="s">
        <v>133</v>
      </c>
      <c r="M9" s="49" t="s">
        <v>90</v>
      </c>
      <c r="N9" s="49" t="s">
        <v>89</v>
      </c>
      <c r="O9" s="49" t="s">
        <v>89</v>
      </c>
      <c r="P9" s="49" t="s">
        <v>89</v>
      </c>
    </row>
    <row r="10" spans="2:16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2:16">
      <c r="B11" s="8" t="s">
        <v>134</v>
      </c>
      <c r="C11" s="38"/>
      <c r="D11" s="8"/>
      <c r="E11" s="8"/>
      <c r="F11" s="8"/>
      <c r="G11" s="7"/>
      <c r="H11" s="8"/>
      <c r="I11" s="7"/>
      <c r="J11" s="7"/>
      <c r="K11" s="13">
        <v>0</v>
      </c>
      <c r="L11" s="7"/>
      <c r="M11" s="13">
        <v>0</v>
      </c>
      <c r="N11" s="7"/>
      <c r="O11" s="14">
        <v>0</v>
      </c>
      <c r="P11" s="14">
        <v>0</v>
      </c>
    </row>
    <row r="12" spans="2:16">
      <c r="B12" s="8" t="s">
        <v>1202</v>
      </c>
      <c r="C12" s="38"/>
      <c r="D12" s="8"/>
      <c r="E12" s="8"/>
      <c r="F12" s="8"/>
      <c r="G12" s="7"/>
      <c r="H12" s="8"/>
      <c r="I12" s="7"/>
      <c r="J12" s="7"/>
      <c r="K12" s="13">
        <v>0</v>
      </c>
      <c r="L12" s="7"/>
      <c r="M12" s="13">
        <v>0</v>
      </c>
      <c r="N12" s="7"/>
      <c r="O12" s="14">
        <v>0</v>
      </c>
      <c r="P12" s="14">
        <v>0</v>
      </c>
    </row>
    <row r="13" spans="2:16">
      <c r="B13" s="39" t="s">
        <v>1203</v>
      </c>
      <c r="C13" s="40"/>
      <c r="D13" s="39"/>
      <c r="E13" s="39"/>
      <c r="F13" s="39"/>
      <c r="G13" s="7"/>
      <c r="H13" s="39"/>
      <c r="I13" s="7"/>
      <c r="J13" s="7"/>
      <c r="K13" s="42">
        <v>0</v>
      </c>
      <c r="L13" s="7"/>
      <c r="M13" s="42">
        <v>0</v>
      </c>
      <c r="N13" s="7"/>
      <c r="O13" s="41">
        <v>0</v>
      </c>
      <c r="P13" s="41">
        <v>0</v>
      </c>
    </row>
    <row r="14" spans="2:16">
      <c r="B14" s="39" t="s">
        <v>1204</v>
      </c>
      <c r="C14" s="40"/>
      <c r="D14" s="39"/>
      <c r="E14" s="39"/>
      <c r="F14" s="39"/>
      <c r="G14" s="7"/>
      <c r="H14" s="39"/>
      <c r="I14" s="7"/>
      <c r="J14" s="7"/>
      <c r="K14" s="42">
        <v>0</v>
      </c>
      <c r="L14" s="7"/>
      <c r="M14" s="42">
        <v>0</v>
      </c>
      <c r="N14" s="7"/>
      <c r="O14" s="41">
        <v>0</v>
      </c>
      <c r="P14" s="41">
        <v>0</v>
      </c>
    </row>
    <row r="15" spans="2:16">
      <c r="B15" s="39" t="s">
        <v>1205</v>
      </c>
      <c r="C15" s="40"/>
      <c r="D15" s="39"/>
      <c r="E15" s="39"/>
      <c r="F15" s="39"/>
      <c r="G15" s="7"/>
      <c r="H15" s="39"/>
      <c r="I15" s="7"/>
      <c r="J15" s="7"/>
      <c r="K15" s="42">
        <v>0</v>
      </c>
      <c r="L15" s="7"/>
      <c r="M15" s="42">
        <v>0</v>
      </c>
      <c r="N15" s="7"/>
      <c r="O15" s="41">
        <v>0</v>
      </c>
      <c r="P15" s="41">
        <v>0</v>
      </c>
    </row>
    <row r="16" spans="2:16">
      <c r="B16" s="39" t="s">
        <v>1206</v>
      </c>
      <c r="C16" s="40"/>
      <c r="D16" s="39"/>
      <c r="E16" s="39"/>
      <c r="F16" s="39"/>
      <c r="G16" s="7"/>
      <c r="H16" s="39"/>
      <c r="I16" s="7"/>
      <c r="J16" s="7"/>
      <c r="K16" s="42">
        <v>0</v>
      </c>
      <c r="L16" s="7"/>
      <c r="M16" s="42">
        <v>0</v>
      </c>
      <c r="N16" s="7"/>
      <c r="O16" s="41">
        <v>0</v>
      </c>
      <c r="P16" s="41">
        <v>0</v>
      </c>
    </row>
    <row r="17" spans="2:16">
      <c r="B17" s="39" t="s">
        <v>1207</v>
      </c>
      <c r="C17" s="40"/>
      <c r="D17" s="39"/>
      <c r="E17" s="39"/>
      <c r="F17" s="39"/>
      <c r="G17" s="7"/>
      <c r="H17" s="39"/>
      <c r="I17" s="7"/>
      <c r="J17" s="7"/>
      <c r="K17" s="42">
        <v>0</v>
      </c>
      <c r="L17" s="7"/>
      <c r="M17" s="42">
        <v>0</v>
      </c>
      <c r="N17" s="7"/>
      <c r="O17" s="41">
        <v>0</v>
      </c>
      <c r="P17" s="41">
        <v>0</v>
      </c>
    </row>
    <row r="18" spans="2:16">
      <c r="B18" s="8" t="s">
        <v>1208</v>
      </c>
      <c r="C18" s="38"/>
      <c r="D18" s="8"/>
      <c r="E18" s="8"/>
      <c r="F18" s="8"/>
      <c r="G18" s="7"/>
      <c r="H18" s="8"/>
      <c r="I18" s="7"/>
      <c r="J18" s="7"/>
      <c r="K18" s="13">
        <v>0</v>
      </c>
      <c r="L18" s="7"/>
      <c r="M18" s="13">
        <v>0</v>
      </c>
      <c r="N18" s="7"/>
      <c r="O18" s="14">
        <v>0</v>
      </c>
      <c r="P18" s="14">
        <v>0</v>
      </c>
    </row>
    <row r="19" spans="2:16">
      <c r="B19" s="39" t="s">
        <v>177</v>
      </c>
      <c r="C19" s="40"/>
      <c r="D19" s="39"/>
      <c r="E19" s="39"/>
      <c r="F19" s="39"/>
      <c r="G19" s="7"/>
      <c r="H19" s="39"/>
      <c r="I19" s="7"/>
      <c r="J19" s="7"/>
      <c r="K19" s="42">
        <v>0</v>
      </c>
      <c r="L19" s="7"/>
      <c r="M19" s="42">
        <v>0</v>
      </c>
      <c r="N19" s="7"/>
      <c r="O19" s="41">
        <v>0</v>
      </c>
      <c r="P19" s="41">
        <v>0</v>
      </c>
    </row>
    <row r="20" spans="2:16">
      <c r="B20" s="39" t="s">
        <v>1209</v>
      </c>
      <c r="C20" s="40"/>
      <c r="D20" s="39"/>
      <c r="E20" s="39"/>
      <c r="F20" s="39"/>
      <c r="G20" s="7"/>
      <c r="H20" s="39"/>
      <c r="I20" s="7"/>
      <c r="J20" s="7"/>
      <c r="K20" s="42">
        <v>0</v>
      </c>
      <c r="L20" s="7"/>
      <c r="M20" s="42">
        <v>0</v>
      </c>
      <c r="N20" s="7"/>
      <c r="O20" s="41">
        <v>0</v>
      </c>
      <c r="P20" s="41">
        <v>0</v>
      </c>
    </row>
    <row r="23" spans="2:16">
      <c r="B23" s="3" t="s">
        <v>121</v>
      </c>
      <c r="C23" s="5"/>
      <c r="D23" s="3"/>
      <c r="E23" s="3"/>
      <c r="F23" s="3"/>
      <c r="H23" s="3"/>
    </row>
    <row r="27" spans="2:16">
      <c r="B27" s="2" t="s">
        <v>76</v>
      </c>
    </row>
  </sheetData>
  <mergeCells count="2">
    <mergeCell ref="B8:K8"/>
    <mergeCell ref="L8:P8"/>
  </mergeCell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topLeftCell="L1" workbookViewId="0">
      <selection activeCell="B6" sqref="B6:U10"/>
    </sheetView>
  </sheetViews>
  <sheetFormatPr defaultColWidth="9.140625" defaultRowHeight="12.75"/>
  <cols>
    <col min="1" max="1" width="3.7109375" customWidth="1"/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7.7109375" customWidth="1"/>
    <col min="19" max="19" width="20.7109375" customWidth="1"/>
  </cols>
  <sheetData>
    <row r="1" spans="2:19">
      <c r="B1" s="15" t="s">
        <v>1490</v>
      </c>
    </row>
    <row r="2" spans="2:19">
      <c r="B2" s="15" t="s">
        <v>1489</v>
      </c>
    </row>
    <row r="3" spans="2:19">
      <c r="B3" s="15" t="s">
        <v>2</v>
      </c>
    </row>
    <row r="4" spans="2:19">
      <c r="B4" s="15" t="s">
        <v>3</v>
      </c>
    </row>
    <row r="6" spans="2:19">
      <c r="B6" s="49" t="s">
        <v>1200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2:19">
      <c r="B7" s="49" t="s">
        <v>203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19">
      <c r="B8" s="113" t="s">
        <v>78</v>
      </c>
      <c r="C8" s="113" t="s">
        <v>79</v>
      </c>
      <c r="D8" s="113" t="s">
        <v>204</v>
      </c>
      <c r="E8" s="113" t="s">
        <v>80</v>
      </c>
      <c r="F8" s="113" t="s">
        <v>205</v>
      </c>
      <c r="G8" s="113" t="s">
        <v>81</v>
      </c>
      <c r="H8" s="113" t="s">
        <v>82</v>
      </c>
      <c r="I8" s="113" t="s">
        <v>125</v>
      </c>
      <c r="J8" s="113" t="s">
        <v>126</v>
      </c>
      <c r="K8" s="113" t="s">
        <v>83</v>
      </c>
      <c r="L8" s="113" t="s">
        <v>84</v>
      </c>
      <c r="M8" s="113" t="s">
        <v>85</v>
      </c>
      <c r="N8" s="113" t="s">
        <v>127</v>
      </c>
      <c r="O8" s="113" t="s">
        <v>42</v>
      </c>
      <c r="P8" s="113" t="s">
        <v>1201</v>
      </c>
      <c r="Q8" s="113" t="s">
        <v>128</v>
      </c>
      <c r="R8" s="113" t="s">
        <v>129</v>
      </c>
      <c r="S8" s="113" t="s">
        <v>88</v>
      </c>
    </row>
    <row r="9" spans="2:19">
      <c r="B9" s="49"/>
      <c r="C9" s="49"/>
      <c r="D9" s="49"/>
      <c r="E9" s="49"/>
      <c r="F9" s="49"/>
      <c r="G9" s="49"/>
      <c r="H9" s="49"/>
      <c r="I9" s="49" t="s">
        <v>130</v>
      </c>
      <c r="J9" s="49" t="s">
        <v>131</v>
      </c>
      <c r="K9" s="49"/>
      <c r="L9" s="49" t="s">
        <v>89</v>
      </c>
      <c r="M9" s="49" t="s">
        <v>89</v>
      </c>
      <c r="N9" s="49" t="s">
        <v>132</v>
      </c>
      <c r="O9" s="49" t="s">
        <v>133</v>
      </c>
      <c r="P9" s="49" t="s">
        <v>90</v>
      </c>
      <c r="Q9" s="49" t="s">
        <v>89</v>
      </c>
      <c r="R9" s="49" t="s">
        <v>89</v>
      </c>
      <c r="S9" s="49" t="s">
        <v>89</v>
      </c>
    </row>
    <row r="10" spans="2:19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2:19">
      <c r="B11" s="8" t="s">
        <v>1210</v>
      </c>
      <c r="C11" s="38"/>
      <c r="D11" s="8"/>
      <c r="E11" s="8"/>
      <c r="F11" s="8"/>
      <c r="G11" s="8"/>
      <c r="H11" s="8"/>
      <c r="I11" s="8"/>
      <c r="J11" s="7"/>
      <c r="K11" s="8"/>
      <c r="L11" s="7"/>
      <c r="M11" s="7"/>
      <c r="N11" s="13">
        <v>0</v>
      </c>
      <c r="O11" s="7"/>
      <c r="P11" s="13">
        <v>0</v>
      </c>
      <c r="Q11" s="7"/>
      <c r="R11" s="14">
        <v>0</v>
      </c>
      <c r="S11" s="14">
        <v>0</v>
      </c>
    </row>
    <row r="12" spans="2:19">
      <c r="B12" s="8" t="s">
        <v>1211</v>
      </c>
      <c r="C12" s="38"/>
      <c r="D12" s="8"/>
      <c r="E12" s="8"/>
      <c r="F12" s="8"/>
      <c r="G12" s="8"/>
      <c r="H12" s="8"/>
      <c r="I12" s="8"/>
      <c r="J12" s="7"/>
      <c r="K12" s="8"/>
      <c r="L12" s="7"/>
      <c r="M12" s="7"/>
      <c r="N12" s="13">
        <v>0</v>
      </c>
      <c r="O12" s="7"/>
      <c r="P12" s="13">
        <v>0</v>
      </c>
      <c r="Q12" s="7"/>
      <c r="R12" s="14">
        <v>0</v>
      </c>
      <c r="S12" s="14">
        <v>0</v>
      </c>
    </row>
    <row r="13" spans="2:19">
      <c r="B13" s="39" t="s">
        <v>1212</v>
      </c>
      <c r="C13" s="40"/>
      <c r="D13" s="39"/>
      <c r="E13" s="39"/>
      <c r="F13" s="39"/>
      <c r="G13" s="39"/>
      <c r="H13" s="39"/>
      <c r="I13" s="39"/>
      <c r="J13" s="7"/>
      <c r="K13" s="39"/>
      <c r="L13" s="7"/>
      <c r="M13" s="7"/>
      <c r="N13" s="42">
        <v>0</v>
      </c>
      <c r="O13" s="7"/>
      <c r="P13" s="42">
        <v>0</v>
      </c>
      <c r="Q13" s="7"/>
      <c r="R13" s="41">
        <v>0</v>
      </c>
      <c r="S13" s="41">
        <v>0</v>
      </c>
    </row>
    <row r="14" spans="2:19">
      <c r="B14" s="39" t="s">
        <v>1213</v>
      </c>
      <c r="C14" s="40"/>
      <c r="D14" s="39"/>
      <c r="E14" s="39"/>
      <c r="F14" s="39"/>
      <c r="G14" s="39"/>
      <c r="H14" s="39"/>
      <c r="I14" s="39"/>
      <c r="J14" s="7"/>
      <c r="K14" s="39"/>
      <c r="L14" s="7"/>
      <c r="M14" s="7"/>
      <c r="N14" s="42">
        <v>0</v>
      </c>
      <c r="O14" s="7"/>
      <c r="P14" s="42">
        <v>0</v>
      </c>
      <c r="Q14" s="7"/>
      <c r="R14" s="41">
        <v>0</v>
      </c>
      <c r="S14" s="41">
        <v>0</v>
      </c>
    </row>
    <row r="15" spans="2:19">
      <c r="B15" s="39" t="s">
        <v>210</v>
      </c>
      <c r="C15" s="40"/>
      <c r="D15" s="39"/>
      <c r="E15" s="39"/>
      <c r="F15" s="39"/>
      <c r="G15" s="39"/>
      <c r="H15" s="39"/>
      <c r="I15" s="39"/>
      <c r="J15" s="7"/>
      <c r="K15" s="39"/>
      <c r="L15" s="7"/>
      <c r="M15" s="7"/>
      <c r="N15" s="42">
        <v>0</v>
      </c>
      <c r="O15" s="7"/>
      <c r="P15" s="42">
        <v>0</v>
      </c>
      <c r="Q15" s="7"/>
      <c r="R15" s="41">
        <v>0</v>
      </c>
      <c r="S15" s="41">
        <v>0</v>
      </c>
    </row>
    <row r="16" spans="2:19">
      <c r="B16" s="39" t="s">
        <v>1214</v>
      </c>
      <c r="C16" s="40"/>
      <c r="D16" s="39"/>
      <c r="E16" s="39"/>
      <c r="F16" s="39"/>
      <c r="G16" s="39"/>
      <c r="H16" s="39"/>
      <c r="I16" s="39"/>
      <c r="J16" s="7"/>
      <c r="K16" s="39"/>
      <c r="L16" s="7"/>
      <c r="M16" s="7"/>
      <c r="N16" s="42">
        <v>0</v>
      </c>
      <c r="O16" s="7"/>
      <c r="P16" s="42">
        <v>0</v>
      </c>
      <c r="Q16" s="7"/>
      <c r="R16" s="41">
        <v>0</v>
      </c>
      <c r="S16" s="41">
        <v>0</v>
      </c>
    </row>
    <row r="17" spans="2:19">
      <c r="B17" s="8" t="s">
        <v>1215</v>
      </c>
      <c r="C17" s="38"/>
      <c r="D17" s="8"/>
      <c r="E17" s="8"/>
      <c r="F17" s="8"/>
      <c r="G17" s="8"/>
      <c r="H17" s="8"/>
      <c r="I17" s="8"/>
      <c r="J17" s="7"/>
      <c r="K17" s="8"/>
      <c r="L17" s="7"/>
      <c r="M17" s="7"/>
      <c r="N17" s="13">
        <v>0</v>
      </c>
      <c r="O17" s="7"/>
      <c r="P17" s="13">
        <v>0</v>
      </c>
      <c r="Q17" s="7"/>
      <c r="R17" s="14">
        <v>0</v>
      </c>
      <c r="S17" s="14">
        <v>0</v>
      </c>
    </row>
    <row r="18" spans="2:19">
      <c r="B18" s="39" t="s">
        <v>1216</v>
      </c>
      <c r="C18" s="40"/>
      <c r="D18" s="39"/>
      <c r="E18" s="39"/>
      <c r="F18" s="39"/>
      <c r="G18" s="39"/>
      <c r="H18" s="39"/>
      <c r="I18" s="39"/>
      <c r="J18" s="7"/>
      <c r="K18" s="39"/>
      <c r="L18" s="7"/>
      <c r="M18" s="7"/>
      <c r="N18" s="42">
        <v>0</v>
      </c>
      <c r="O18" s="7"/>
      <c r="P18" s="42">
        <v>0</v>
      </c>
      <c r="Q18" s="7"/>
      <c r="R18" s="41">
        <v>0</v>
      </c>
      <c r="S18" s="41">
        <v>0</v>
      </c>
    </row>
    <row r="19" spans="2:19">
      <c r="B19" s="39" t="s">
        <v>1217</v>
      </c>
      <c r="C19" s="40"/>
      <c r="D19" s="39"/>
      <c r="E19" s="39"/>
      <c r="F19" s="39"/>
      <c r="G19" s="39"/>
      <c r="H19" s="39"/>
      <c r="I19" s="39"/>
      <c r="J19" s="7"/>
      <c r="K19" s="39"/>
      <c r="L19" s="7"/>
      <c r="M19" s="7"/>
      <c r="N19" s="42">
        <v>0</v>
      </c>
      <c r="O19" s="7"/>
      <c r="P19" s="42">
        <v>0</v>
      </c>
      <c r="Q19" s="7"/>
      <c r="R19" s="41">
        <v>0</v>
      </c>
      <c r="S19" s="41">
        <v>0</v>
      </c>
    </row>
    <row r="22" spans="2:19">
      <c r="B22" s="3" t="s">
        <v>121</v>
      </c>
      <c r="C22" s="5"/>
      <c r="D22" s="3"/>
      <c r="E22" s="3"/>
      <c r="F22" s="3"/>
      <c r="G22" s="3"/>
      <c r="H22" s="3"/>
      <c r="I22" s="3"/>
      <c r="K22" s="3"/>
    </row>
    <row r="26" spans="2:19">
      <c r="B26" s="2" t="s">
        <v>76</v>
      </c>
    </row>
  </sheetData>
  <mergeCells count="3">
    <mergeCell ref="B8:K8"/>
    <mergeCell ref="L8:P8"/>
    <mergeCell ref="Q8:S8"/>
  </mergeCell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8"/>
  <sheetViews>
    <sheetView rightToLeft="1" topLeftCell="G8" zoomScale="80" zoomScaleNormal="80" workbookViewId="0">
      <selection activeCell="P34" sqref="P34"/>
    </sheetView>
  </sheetViews>
  <sheetFormatPr defaultColWidth="9.140625" defaultRowHeight="12.75"/>
  <cols>
    <col min="1" max="1" width="2.85546875" customWidth="1"/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3.7109375" customWidth="1"/>
    <col min="17" max="17" width="24.7109375" customWidth="1"/>
    <col min="18" max="18" width="27.7109375" customWidth="1"/>
    <col min="19" max="19" width="20.7109375" customWidth="1"/>
  </cols>
  <sheetData>
    <row r="1" spans="2:19" ht="15.75">
      <c r="B1" s="1" t="s">
        <v>0</v>
      </c>
    </row>
    <row r="2" spans="2:19" ht="15.75">
      <c r="B2" s="1" t="s">
        <v>1</v>
      </c>
    </row>
    <row r="3" spans="2:19" ht="15.75">
      <c r="B3" s="1" t="s">
        <v>2</v>
      </c>
    </row>
    <row r="4" spans="2:19" ht="15.75">
      <c r="B4" s="1" t="s">
        <v>3</v>
      </c>
    </row>
    <row r="6" spans="2:19">
      <c r="B6" s="113" t="s">
        <v>1200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54"/>
      <c r="N6" s="113"/>
      <c r="O6" s="113"/>
      <c r="P6" s="113"/>
      <c r="Q6" s="113"/>
      <c r="R6" s="113"/>
      <c r="S6" s="113"/>
    </row>
    <row r="7" spans="2:19">
      <c r="B7" s="49" t="s">
        <v>215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19">
      <c r="B8" s="49" t="s">
        <v>78</v>
      </c>
      <c r="C8" s="49" t="s">
        <v>79</v>
      </c>
      <c r="D8" s="49" t="s">
        <v>204</v>
      </c>
      <c r="E8" s="49" t="s">
        <v>80</v>
      </c>
      <c r="F8" s="49" t="s">
        <v>205</v>
      </c>
      <c r="G8" s="49" t="s">
        <v>81</v>
      </c>
      <c r="H8" s="49" t="s">
        <v>82</v>
      </c>
      <c r="I8" s="49" t="s">
        <v>125</v>
      </c>
      <c r="J8" s="49" t="s">
        <v>126</v>
      </c>
      <c r="K8" s="49" t="s">
        <v>83</v>
      </c>
      <c r="L8" s="49" t="s">
        <v>84</v>
      </c>
      <c r="M8" s="49" t="s">
        <v>85</v>
      </c>
      <c r="N8" s="49" t="s">
        <v>127</v>
      </c>
      <c r="O8" s="49" t="s">
        <v>42</v>
      </c>
      <c r="P8" s="49" t="s">
        <v>1201</v>
      </c>
      <c r="Q8" s="49" t="s">
        <v>128</v>
      </c>
      <c r="R8" s="49" t="s">
        <v>129</v>
      </c>
      <c r="S8" s="49" t="s">
        <v>88</v>
      </c>
    </row>
    <row r="9" spans="2:19">
      <c r="B9" s="113"/>
      <c r="C9" s="113"/>
      <c r="D9" s="113"/>
      <c r="E9" s="113"/>
      <c r="F9" s="113"/>
      <c r="G9" s="113"/>
      <c r="H9" s="113"/>
      <c r="I9" s="113" t="s">
        <v>130</v>
      </c>
      <c r="J9" s="113" t="s">
        <v>131</v>
      </c>
      <c r="K9" s="113"/>
      <c r="L9" s="113" t="s">
        <v>89</v>
      </c>
      <c r="M9" s="54" t="s">
        <v>89</v>
      </c>
      <c r="N9" s="113" t="s">
        <v>132</v>
      </c>
      <c r="O9" s="113" t="s">
        <v>133</v>
      </c>
      <c r="P9" s="113" t="s">
        <v>90</v>
      </c>
      <c r="Q9" s="113" t="s">
        <v>89</v>
      </c>
      <c r="R9" s="113" t="s">
        <v>89</v>
      </c>
      <c r="S9" s="113" t="s">
        <v>89</v>
      </c>
    </row>
    <row r="10" spans="2:19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2:19">
      <c r="B11" s="8" t="s">
        <v>1218</v>
      </c>
      <c r="C11" s="38"/>
      <c r="D11" s="8"/>
      <c r="E11" s="8"/>
      <c r="F11" s="8"/>
      <c r="G11" s="8"/>
      <c r="H11" s="8"/>
      <c r="I11" s="8"/>
      <c r="J11" s="38"/>
      <c r="K11" s="8"/>
      <c r="L11" s="7"/>
      <c r="M11" s="14"/>
      <c r="N11" s="13">
        <f>N13</f>
        <v>90253032.600000039</v>
      </c>
      <c r="O11" s="7"/>
      <c r="P11" s="13">
        <f>P13</f>
        <v>116156.1</v>
      </c>
      <c r="Q11" s="7"/>
      <c r="R11" s="14">
        <f>R13</f>
        <v>0.99999999999999978</v>
      </c>
      <c r="S11" s="14">
        <f>S13</f>
        <v>3.1784996465793976E-2</v>
      </c>
    </row>
    <row r="12" spans="2:19">
      <c r="B12" s="8"/>
      <c r="C12" s="38"/>
      <c r="D12" s="8"/>
      <c r="E12" s="8"/>
      <c r="F12" s="8"/>
      <c r="G12" s="8"/>
      <c r="H12" s="8"/>
      <c r="I12" s="8"/>
      <c r="J12" s="38"/>
      <c r="K12" s="8"/>
      <c r="L12" s="7"/>
      <c r="M12" s="14"/>
      <c r="N12" s="13"/>
      <c r="O12" s="7"/>
      <c r="P12" s="13"/>
      <c r="Q12" s="7"/>
      <c r="R12" s="14"/>
      <c r="S12" s="14"/>
    </row>
    <row r="13" spans="2:19">
      <c r="B13" s="8" t="s">
        <v>1219</v>
      </c>
      <c r="C13" s="38"/>
      <c r="D13" s="8"/>
      <c r="E13" s="8"/>
      <c r="F13" s="8"/>
      <c r="G13" s="8"/>
      <c r="H13" s="8"/>
      <c r="I13" s="8"/>
      <c r="J13" s="38"/>
      <c r="K13" s="8"/>
      <c r="L13" s="7"/>
      <c r="M13" s="14"/>
      <c r="N13" s="13">
        <f>N15+N65+N70</f>
        <v>90253032.600000039</v>
      </c>
      <c r="O13" s="13">
        <f t="shared" ref="O13:S13" si="0">O15+O65+O70</f>
        <v>0</v>
      </c>
      <c r="P13" s="13">
        <f t="shared" si="0"/>
        <v>116156.1</v>
      </c>
      <c r="Q13" s="13"/>
      <c r="R13" s="14">
        <f t="shared" si="0"/>
        <v>0.99999999999999978</v>
      </c>
      <c r="S13" s="14">
        <f t="shared" si="0"/>
        <v>3.1784996465793976E-2</v>
      </c>
    </row>
    <row r="14" spans="2:19">
      <c r="B14" s="8"/>
      <c r="C14" s="38"/>
      <c r="D14" s="8"/>
      <c r="E14" s="8"/>
      <c r="F14" s="8"/>
      <c r="G14" s="8"/>
      <c r="H14" s="8"/>
      <c r="I14" s="8"/>
      <c r="J14" s="38"/>
      <c r="K14" s="8"/>
      <c r="L14" s="7"/>
      <c r="M14" s="14"/>
      <c r="N14" s="13"/>
      <c r="O14" s="7"/>
      <c r="P14" s="13"/>
      <c r="Q14" s="7"/>
      <c r="R14" s="14"/>
      <c r="S14" s="14"/>
    </row>
    <row r="15" spans="2:19" ht="12" customHeight="1">
      <c r="B15" s="39" t="s">
        <v>1220</v>
      </c>
      <c r="C15" s="40"/>
      <c r="D15" s="39"/>
      <c r="E15" s="39"/>
      <c r="F15" s="39"/>
      <c r="G15" s="39"/>
      <c r="H15" s="39"/>
      <c r="I15" s="39"/>
      <c r="J15" s="40"/>
      <c r="K15" s="39"/>
      <c r="L15" s="7"/>
      <c r="M15" s="41"/>
      <c r="N15" s="42">
        <f>SUM(N16:N63)</f>
        <v>79401935.240000039</v>
      </c>
      <c r="O15" s="42"/>
      <c r="P15" s="42">
        <f t="shared" ref="P15" si="1">SUM(P16:P63)</f>
        <v>93750.640000000014</v>
      </c>
      <c r="Q15" s="42"/>
      <c r="R15" s="51">
        <f t="shared" ref="R15" si="2">SUM(R16:R63)</f>
        <v>0.80759999999999976</v>
      </c>
      <c r="S15" s="51">
        <f t="shared" ref="S15" si="3">SUM(S16:S63)</f>
        <v>2.5780822770383204E-2</v>
      </c>
    </row>
    <row r="16" spans="2:19">
      <c r="B16" s="10" t="s">
        <v>1221</v>
      </c>
      <c r="C16" s="43">
        <v>1095538</v>
      </c>
      <c r="D16" s="10"/>
      <c r="E16" s="10">
        <v>1150</v>
      </c>
      <c r="F16" s="10" t="s">
        <v>356</v>
      </c>
      <c r="G16" s="10" t="s">
        <v>221</v>
      </c>
      <c r="H16" s="10" t="s">
        <v>95</v>
      </c>
      <c r="I16" s="10" t="s">
        <v>1222</v>
      </c>
      <c r="J16" s="43">
        <v>1.48</v>
      </c>
      <c r="K16" s="10" t="s">
        <v>96</v>
      </c>
      <c r="L16" s="44">
        <v>4.9000000000000002E-2</v>
      </c>
      <c r="M16" s="12">
        <v>1.0699999999999999E-2</v>
      </c>
      <c r="N16" s="11">
        <v>6252.8</v>
      </c>
      <c r="O16" s="11">
        <v>125.78</v>
      </c>
      <c r="P16" s="11">
        <v>7.86</v>
      </c>
      <c r="Q16" s="12">
        <v>0</v>
      </c>
      <c r="R16" s="12">
        <v>1E-4</v>
      </c>
      <c r="S16" s="12">
        <f>P16/'סכום נכסי הקרן'!$C$42</f>
        <v>2.1614494255741827E-6</v>
      </c>
    </row>
    <row r="17" spans="2:19">
      <c r="B17" s="10" t="s">
        <v>1223</v>
      </c>
      <c r="C17" s="43">
        <v>1100908</v>
      </c>
      <c r="D17" s="10"/>
      <c r="E17" s="10">
        <v>1150</v>
      </c>
      <c r="F17" s="10" t="s">
        <v>356</v>
      </c>
      <c r="G17" s="10" t="s">
        <v>221</v>
      </c>
      <c r="H17" s="10" t="s">
        <v>95</v>
      </c>
      <c r="I17" s="10" t="s">
        <v>1224</v>
      </c>
      <c r="J17" s="43">
        <v>9.73</v>
      </c>
      <c r="K17" s="10" t="s">
        <v>96</v>
      </c>
      <c r="L17" s="44">
        <v>4.9000000000000002E-2</v>
      </c>
      <c r="M17" s="12">
        <v>2.1299999999999999E-2</v>
      </c>
      <c r="N17" s="11">
        <v>2466666</v>
      </c>
      <c r="O17" s="11">
        <v>153.5</v>
      </c>
      <c r="P17" s="11">
        <v>3786.33</v>
      </c>
      <c r="Q17" s="12">
        <v>1.6000000000000001E-3</v>
      </c>
      <c r="R17" s="12">
        <v>3.2500000000000001E-2</v>
      </c>
      <c r="S17" s="12">
        <f>P17/'סכום נכסי הקרן'!$C$42</f>
        <v>1.0412163872181037E-3</v>
      </c>
    </row>
    <row r="18" spans="2:19">
      <c r="B18" s="10" t="s">
        <v>1225</v>
      </c>
      <c r="C18" s="43">
        <v>31200579</v>
      </c>
      <c r="D18" s="10"/>
      <c r="E18" s="10">
        <v>604</v>
      </c>
      <c r="F18" s="10" t="s">
        <v>220</v>
      </c>
      <c r="G18" s="10" t="s">
        <v>94</v>
      </c>
      <c r="H18" s="10" t="s">
        <v>95</v>
      </c>
      <c r="I18" s="10" t="s">
        <v>1226</v>
      </c>
      <c r="J18" s="43">
        <v>4.4800000000000004</v>
      </c>
      <c r="K18" s="10" t="s">
        <v>96</v>
      </c>
      <c r="L18" s="44">
        <v>6.6000000000000003E-2</v>
      </c>
      <c r="M18" s="12">
        <v>1.24E-2</v>
      </c>
      <c r="N18" s="11">
        <v>3723500</v>
      </c>
      <c r="O18" s="11">
        <v>159.62</v>
      </c>
      <c r="P18" s="11">
        <v>5943.45</v>
      </c>
      <c r="Q18" s="7"/>
      <c r="R18" s="12">
        <f>5.1%-0.0004</f>
        <v>5.0599999999999999E-2</v>
      </c>
      <c r="S18" s="12">
        <f>P18/'סכום נכסי הקרן'!$C$42</f>
        <v>1.6344105074336992E-3</v>
      </c>
    </row>
    <row r="19" spans="2:19">
      <c r="B19" s="10" t="s">
        <v>1227</v>
      </c>
      <c r="C19" s="43">
        <v>1092477</v>
      </c>
      <c r="D19" s="10"/>
      <c r="E19" s="10">
        <v>1235</v>
      </c>
      <c r="F19" s="10" t="s">
        <v>356</v>
      </c>
      <c r="G19" s="10" t="s">
        <v>94</v>
      </c>
      <c r="H19" s="10" t="s">
        <v>95</v>
      </c>
      <c r="I19" s="10" t="s">
        <v>1228</v>
      </c>
      <c r="J19" s="43">
        <v>1.91</v>
      </c>
      <c r="K19" s="10" t="s">
        <v>96</v>
      </c>
      <c r="L19" s="44">
        <v>5.8999999999999997E-2</v>
      </c>
      <c r="M19" s="12">
        <v>1.04E-2</v>
      </c>
      <c r="N19" s="11">
        <v>0.03</v>
      </c>
      <c r="O19" s="11">
        <v>135.58000000000001</v>
      </c>
      <c r="P19" s="11">
        <v>0</v>
      </c>
      <c r="Q19" s="12">
        <v>0</v>
      </c>
      <c r="R19" s="12">
        <v>0</v>
      </c>
      <c r="S19" s="12">
        <f>P19/'סכום נכסי הקרן'!$C$42</f>
        <v>0</v>
      </c>
    </row>
    <row r="20" spans="2:19">
      <c r="B20" s="10" t="s">
        <v>1229</v>
      </c>
      <c r="C20" s="43">
        <v>1106822</v>
      </c>
      <c r="D20" s="10"/>
      <c r="E20" s="10">
        <v>1486</v>
      </c>
      <c r="F20" s="10" t="s">
        <v>356</v>
      </c>
      <c r="G20" s="10" t="s">
        <v>94</v>
      </c>
      <c r="H20" s="10" t="s">
        <v>95</v>
      </c>
      <c r="I20" s="10" t="s">
        <v>1230</v>
      </c>
      <c r="J20" s="43">
        <v>4.0999999999999996</v>
      </c>
      <c r="K20" s="10" t="s">
        <v>96</v>
      </c>
      <c r="L20" s="44">
        <v>4.9000000000000002E-2</v>
      </c>
      <c r="M20" s="12">
        <v>1.1900000000000001E-2</v>
      </c>
      <c r="N20" s="11">
        <v>82464.27</v>
      </c>
      <c r="O20" s="11">
        <v>139.53</v>
      </c>
      <c r="P20" s="11">
        <v>115.06</v>
      </c>
      <c r="Q20" s="12">
        <v>2.0000000000000001E-4</v>
      </c>
      <c r="R20" s="12">
        <v>1E-3</v>
      </c>
      <c r="S20" s="12">
        <f>P20/'סכום נכסי הקרן'!$C$42</f>
        <v>3.164075965732385E-5</v>
      </c>
    </row>
    <row r="21" spans="2:19">
      <c r="B21" s="10" t="s">
        <v>1231</v>
      </c>
      <c r="C21" s="43">
        <v>6626337</v>
      </c>
      <c r="D21" s="10"/>
      <c r="E21" s="10">
        <v>662</v>
      </c>
      <c r="F21" s="10" t="s">
        <v>220</v>
      </c>
      <c r="G21" s="10" t="s">
        <v>94</v>
      </c>
      <c r="H21" s="10" t="s">
        <v>95</v>
      </c>
      <c r="I21" s="10" t="s">
        <v>1232</v>
      </c>
      <c r="J21" s="43">
        <v>0.99</v>
      </c>
      <c r="K21" s="10" t="s">
        <v>96</v>
      </c>
      <c r="L21" s="44">
        <v>6.5000000000000002E-2</v>
      </c>
      <c r="M21" s="12">
        <v>1.2800000000000001E-2</v>
      </c>
      <c r="N21" s="11">
        <v>400000</v>
      </c>
      <c r="O21" s="11">
        <v>127.16</v>
      </c>
      <c r="P21" s="11">
        <v>508.64</v>
      </c>
      <c r="Q21" s="12">
        <v>0.16669999999999999</v>
      </c>
      <c r="R21" s="12">
        <v>4.4000000000000003E-3</v>
      </c>
      <c r="S21" s="12">
        <f>P21/'סכום נכסי הקרן'!$C$42</f>
        <v>1.3987272720407788E-4</v>
      </c>
    </row>
    <row r="22" spans="2:19">
      <c r="B22" s="10" t="s">
        <v>1233</v>
      </c>
      <c r="C22" s="43">
        <v>1102797</v>
      </c>
      <c r="D22" s="10"/>
      <c r="E22" s="10">
        <v>1417</v>
      </c>
      <c r="F22" s="10" t="s">
        <v>307</v>
      </c>
      <c r="G22" s="10" t="s">
        <v>99</v>
      </c>
      <c r="H22" s="10" t="s">
        <v>95</v>
      </c>
      <c r="I22" s="10" t="s">
        <v>1234</v>
      </c>
      <c r="J22" s="43">
        <v>1.47</v>
      </c>
      <c r="K22" s="10" t="s">
        <v>96</v>
      </c>
      <c r="L22" s="44">
        <v>4.9000000000000002E-2</v>
      </c>
      <c r="M22" s="12">
        <v>1.5299999999999999E-2</v>
      </c>
      <c r="N22" s="11">
        <v>5392133.3799999999</v>
      </c>
      <c r="O22" s="11">
        <v>125.48</v>
      </c>
      <c r="P22" s="11">
        <v>6766.05</v>
      </c>
      <c r="Q22" s="12">
        <v>1.7999999999999999E-2</v>
      </c>
      <c r="R22" s="12">
        <v>5.8099999999999999E-2</v>
      </c>
      <c r="S22" s="12">
        <f>P22/'סכום נכסי הקרן'!$C$42</f>
        <v>1.8606202144918827E-3</v>
      </c>
    </row>
    <row r="23" spans="2:19">
      <c r="B23" s="10" t="s">
        <v>1235</v>
      </c>
      <c r="C23" s="43">
        <v>1093491</v>
      </c>
      <c r="D23" s="10"/>
      <c r="E23" s="10"/>
      <c r="F23" s="10" t="s">
        <v>356</v>
      </c>
      <c r="G23" s="10" t="s">
        <v>99</v>
      </c>
      <c r="H23" s="10" t="s">
        <v>95</v>
      </c>
      <c r="I23" s="10" t="s">
        <v>1236</v>
      </c>
      <c r="J23" s="43">
        <v>1.71</v>
      </c>
      <c r="K23" s="10" t="s">
        <v>96</v>
      </c>
      <c r="L23" s="44">
        <v>4.9500000000000002E-2</v>
      </c>
      <c r="M23" s="12">
        <v>1.0200000000000001E-2</v>
      </c>
      <c r="N23" s="11">
        <v>513.20000000000005</v>
      </c>
      <c r="O23" s="11">
        <v>131.9</v>
      </c>
      <c r="P23" s="11">
        <v>0.68</v>
      </c>
      <c r="Q23" s="12">
        <v>0</v>
      </c>
      <c r="R23" s="12">
        <v>0</v>
      </c>
      <c r="S23" s="12">
        <f>P23/'סכום נכסי הקרן'!$C$42</f>
        <v>1.8699562460438223E-7</v>
      </c>
    </row>
    <row r="24" spans="2:19">
      <c r="B24" s="10" t="s">
        <v>1237</v>
      </c>
      <c r="C24" s="43">
        <v>1106988</v>
      </c>
      <c r="D24" s="10"/>
      <c r="E24" s="10"/>
      <c r="F24" s="10" t="s">
        <v>247</v>
      </c>
      <c r="G24" s="10" t="s">
        <v>99</v>
      </c>
      <c r="H24" s="10" t="s">
        <v>95</v>
      </c>
      <c r="I24" s="10" t="s">
        <v>1238</v>
      </c>
      <c r="J24" s="43">
        <v>0.5</v>
      </c>
      <c r="K24" s="10" t="s">
        <v>96</v>
      </c>
      <c r="L24" s="44">
        <v>8.4000000000000005E-2</v>
      </c>
      <c r="M24" s="12">
        <v>1.5599999999999999E-2</v>
      </c>
      <c r="N24" s="11">
        <v>769750.02</v>
      </c>
      <c r="O24" s="11">
        <v>127.17</v>
      </c>
      <c r="P24" s="11">
        <v>978.89</v>
      </c>
      <c r="Q24" s="12">
        <v>1.0699999999999999E-2</v>
      </c>
      <c r="R24" s="12">
        <v>8.3999999999999995E-3</v>
      </c>
      <c r="S24" s="12">
        <f>P24/'סכום נכסי הקרן'!$C$42</f>
        <v>2.6918845142497603E-4</v>
      </c>
    </row>
    <row r="25" spans="2:19">
      <c r="B25" s="10" t="s">
        <v>1239</v>
      </c>
      <c r="C25" s="43">
        <v>299901843</v>
      </c>
      <c r="D25" s="10"/>
      <c r="E25" s="10"/>
      <c r="F25" s="10" t="s">
        <v>356</v>
      </c>
      <c r="G25" s="10" t="s">
        <v>99</v>
      </c>
      <c r="H25" s="10" t="s">
        <v>95</v>
      </c>
      <c r="I25" s="10" t="s">
        <v>1240</v>
      </c>
      <c r="J25" s="43">
        <v>5.17</v>
      </c>
      <c r="K25" s="10" t="s">
        <v>96</v>
      </c>
      <c r="L25" s="44">
        <v>3.8845999999999999E-2</v>
      </c>
      <c r="M25" s="12">
        <v>1.5800000000000002E-2</v>
      </c>
      <c r="N25" s="11">
        <v>124828.89</v>
      </c>
      <c r="O25" s="11">
        <v>144.83000000000001</v>
      </c>
      <c r="P25" s="11">
        <v>180.79</v>
      </c>
      <c r="Q25" s="7"/>
      <c r="R25" s="12">
        <v>1.6000000000000001E-3</v>
      </c>
      <c r="S25" s="12">
        <f>P25/'סכום נכסי הקרן'!$C$42</f>
        <v>4.9716086723862144E-5</v>
      </c>
    </row>
    <row r="26" spans="2:19">
      <c r="B26" s="10" t="s">
        <v>1241</v>
      </c>
      <c r="C26" s="43">
        <v>1089655</v>
      </c>
      <c r="D26" s="10"/>
      <c r="E26" s="10">
        <v>1175</v>
      </c>
      <c r="F26" s="10" t="s">
        <v>259</v>
      </c>
      <c r="G26" s="10" t="s">
        <v>99</v>
      </c>
      <c r="H26" s="10" t="s">
        <v>95</v>
      </c>
      <c r="I26" s="10" t="s">
        <v>1242</v>
      </c>
      <c r="J26" s="43">
        <v>1.21</v>
      </c>
      <c r="K26" s="10" t="s">
        <v>96</v>
      </c>
      <c r="L26" s="44">
        <v>5.5500000000000001E-2</v>
      </c>
      <c r="M26" s="12">
        <v>9.7999999999999997E-3</v>
      </c>
      <c r="N26" s="11">
        <v>65160</v>
      </c>
      <c r="O26" s="11">
        <v>135.94999999999999</v>
      </c>
      <c r="P26" s="11">
        <v>88.59</v>
      </c>
      <c r="Q26" s="12">
        <v>1.1000000000000001E-3</v>
      </c>
      <c r="R26" s="12">
        <v>8.0000000000000004E-4</v>
      </c>
      <c r="S26" s="12">
        <f>P26/'סכום נכסי הקרן'!$C$42</f>
        <v>2.4361679976032677E-5</v>
      </c>
    </row>
    <row r="27" spans="2:19">
      <c r="B27" s="10" t="s">
        <v>1243</v>
      </c>
      <c r="C27" s="43">
        <v>6000129</v>
      </c>
      <c r="D27" s="10"/>
      <c r="E27" s="10">
        <v>600</v>
      </c>
      <c r="F27" s="10" t="s">
        <v>356</v>
      </c>
      <c r="G27" s="10" t="s">
        <v>99</v>
      </c>
      <c r="H27" s="10" t="s">
        <v>95</v>
      </c>
      <c r="I27" s="10" t="s">
        <v>1244</v>
      </c>
      <c r="J27" s="43">
        <v>4.1900000000000004</v>
      </c>
      <c r="K27" s="10" t="s">
        <v>96</v>
      </c>
      <c r="L27" s="44">
        <v>0.06</v>
      </c>
      <c r="M27" s="12">
        <v>2.8400000000000002E-2</v>
      </c>
      <c r="N27" s="11">
        <v>11203250</v>
      </c>
      <c r="O27" s="11">
        <v>121.81</v>
      </c>
      <c r="P27" s="11">
        <v>13646.68</v>
      </c>
      <c r="Q27" s="12">
        <v>5.1000000000000004E-3</v>
      </c>
      <c r="R27" s="12">
        <v>0.1172</v>
      </c>
      <c r="S27" s="12">
        <f>P27/'סכום נכסי הקרן'!$C$42</f>
        <v>3.7527491917296041E-3</v>
      </c>
    </row>
    <row r="28" spans="2:19">
      <c r="B28" s="10" t="s">
        <v>1245</v>
      </c>
      <c r="C28" s="43">
        <v>6001028</v>
      </c>
      <c r="D28" s="10"/>
      <c r="E28" s="10">
        <v>600</v>
      </c>
      <c r="F28" s="10" t="s">
        <v>356</v>
      </c>
      <c r="G28" s="10" t="s">
        <v>99</v>
      </c>
      <c r="H28" s="10" t="s">
        <v>95</v>
      </c>
      <c r="I28" s="10" t="s">
        <v>1246</v>
      </c>
      <c r="J28" s="43">
        <v>2.27</v>
      </c>
      <c r="K28" s="10" t="s">
        <v>96</v>
      </c>
      <c r="L28" s="44">
        <v>4.5999999999999999E-2</v>
      </c>
      <c r="M28" s="12">
        <v>9.4000000000000004E-3</v>
      </c>
      <c r="N28" s="11">
        <v>25000</v>
      </c>
      <c r="O28" s="11">
        <v>320.58999999999997</v>
      </c>
      <c r="P28" s="11">
        <v>80.150000000000006</v>
      </c>
      <c r="Q28" s="12">
        <v>1.2999999999999999E-3</v>
      </c>
      <c r="R28" s="12">
        <v>6.9999999999999999E-4</v>
      </c>
      <c r="S28" s="12">
        <f>P28/'סכום נכסי הקרן'!$C$42</f>
        <v>2.2040734282413582E-5</v>
      </c>
    </row>
    <row r="29" spans="2:19">
      <c r="B29" s="10" t="s">
        <v>1245</v>
      </c>
      <c r="C29" s="43">
        <v>6001044</v>
      </c>
      <c r="D29" s="10"/>
      <c r="E29" s="10">
        <v>600</v>
      </c>
      <c r="F29" s="10" t="s">
        <v>356</v>
      </c>
      <c r="G29" s="10" t="s">
        <v>99</v>
      </c>
      <c r="H29" s="10" t="s">
        <v>95</v>
      </c>
      <c r="I29" s="10" t="s">
        <v>1247</v>
      </c>
      <c r="J29" s="43">
        <v>2.35</v>
      </c>
      <c r="K29" s="10" t="s">
        <v>96</v>
      </c>
      <c r="L29" s="44">
        <v>4.5999999999999999E-2</v>
      </c>
      <c r="M29" s="12">
        <v>9.7000000000000003E-3</v>
      </c>
      <c r="N29" s="11">
        <v>25000</v>
      </c>
      <c r="O29" s="11">
        <v>313.26</v>
      </c>
      <c r="P29" s="11">
        <v>78.31</v>
      </c>
      <c r="Q29" s="12">
        <v>1.2999999999999999E-3</v>
      </c>
      <c r="R29" s="12">
        <v>6.9999999999999999E-4</v>
      </c>
      <c r="S29" s="12">
        <f>P29/'סכום נכסי הקרן'!$C$42</f>
        <v>2.1534746121719368E-5</v>
      </c>
    </row>
    <row r="30" spans="2:19">
      <c r="B30" s="10" t="s">
        <v>1248</v>
      </c>
      <c r="C30" s="43">
        <v>1119247</v>
      </c>
      <c r="D30" s="10"/>
      <c r="E30" s="10">
        <v>1205</v>
      </c>
      <c r="F30" s="10" t="s">
        <v>259</v>
      </c>
      <c r="G30" s="10" t="s">
        <v>99</v>
      </c>
      <c r="H30" s="10" t="s">
        <v>95</v>
      </c>
      <c r="I30" s="10" t="s">
        <v>1249</v>
      </c>
      <c r="J30" s="43">
        <v>0.56999999999999995</v>
      </c>
      <c r="K30" s="10" t="s">
        <v>96</v>
      </c>
      <c r="L30" s="44">
        <v>7.0000000000000007E-2</v>
      </c>
      <c r="M30" s="12">
        <v>1.37E-2</v>
      </c>
      <c r="N30" s="11">
        <v>160400.01999999999</v>
      </c>
      <c r="O30" s="11">
        <v>132.94</v>
      </c>
      <c r="P30" s="11">
        <v>213.24</v>
      </c>
      <c r="Q30" s="7"/>
      <c r="R30" s="12">
        <v>1.8E-3</v>
      </c>
      <c r="S30" s="12">
        <f>P30/'סכום נכסי הקרן'!$C$42</f>
        <v>5.8639627927409503E-5</v>
      </c>
    </row>
    <row r="31" spans="2:19">
      <c r="B31" s="10" t="s">
        <v>1250</v>
      </c>
      <c r="C31" s="43">
        <v>1094739</v>
      </c>
      <c r="D31" s="10"/>
      <c r="E31" s="10"/>
      <c r="F31" s="10" t="s">
        <v>356</v>
      </c>
      <c r="G31" s="10" t="s">
        <v>99</v>
      </c>
      <c r="H31" s="10" t="s">
        <v>95</v>
      </c>
      <c r="I31" s="10" t="s">
        <v>1251</v>
      </c>
      <c r="J31" s="43">
        <v>1.97</v>
      </c>
      <c r="K31" s="10" t="s">
        <v>96</v>
      </c>
      <c r="L31" s="44">
        <v>5.8999999999999997E-2</v>
      </c>
      <c r="M31" s="12">
        <v>8.3999999999999995E-3</v>
      </c>
      <c r="N31" s="11">
        <v>836152.95</v>
      </c>
      <c r="O31" s="11">
        <v>133.19</v>
      </c>
      <c r="P31" s="11">
        <v>1113.67</v>
      </c>
      <c r="Q31" s="7"/>
      <c r="R31" s="12">
        <v>9.5999999999999992E-3</v>
      </c>
      <c r="S31" s="12">
        <f>P31/'סכום נכסי הקרן'!$C$42</f>
        <v>3.0625208419582698E-4</v>
      </c>
    </row>
    <row r="32" spans="2:19">
      <c r="B32" s="10" t="s">
        <v>1252</v>
      </c>
      <c r="C32" s="43">
        <v>315003</v>
      </c>
      <c r="D32" s="10"/>
      <c r="E32" s="10"/>
      <c r="F32" s="10" t="s">
        <v>356</v>
      </c>
      <c r="G32" s="10" t="s">
        <v>98</v>
      </c>
      <c r="H32" s="10" t="s">
        <v>95</v>
      </c>
      <c r="I32" s="10" t="s">
        <v>1253</v>
      </c>
      <c r="J32" s="43">
        <v>5.34</v>
      </c>
      <c r="K32" s="10" t="s">
        <v>96</v>
      </c>
      <c r="L32" s="44">
        <v>4.7296999999999999E-2</v>
      </c>
      <c r="M32" s="12">
        <v>1.46E-2</v>
      </c>
      <c r="N32" s="11">
        <v>3969806.91</v>
      </c>
      <c r="O32" s="11">
        <v>143.86000000000001</v>
      </c>
      <c r="P32" s="11">
        <v>5710.96</v>
      </c>
      <c r="Q32" s="7"/>
      <c r="R32" s="12">
        <v>4.9000000000000002E-2</v>
      </c>
      <c r="S32" s="12">
        <f>P32/'סכום נכסי הקרן'!$C$42</f>
        <v>1.570477253368592E-3</v>
      </c>
    </row>
    <row r="33" spans="2:19">
      <c r="B33" s="10" t="s">
        <v>1254</v>
      </c>
      <c r="C33" s="43">
        <v>1097997</v>
      </c>
      <c r="D33" s="10"/>
      <c r="E33" s="10"/>
      <c r="F33" s="10" t="s">
        <v>356</v>
      </c>
      <c r="G33" s="10" t="s">
        <v>98</v>
      </c>
      <c r="H33" s="10" t="s">
        <v>95</v>
      </c>
      <c r="I33" s="10" t="s">
        <v>1255</v>
      </c>
      <c r="J33" s="43">
        <v>4.01</v>
      </c>
      <c r="K33" s="10" t="s">
        <v>96</v>
      </c>
      <c r="L33" s="44">
        <v>7.7499999999999999E-2</v>
      </c>
      <c r="M33" s="12">
        <v>1.21E-2</v>
      </c>
      <c r="N33" s="11">
        <v>6626896.3399999999</v>
      </c>
      <c r="O33" s="11">
        <v>158.37</v>
      </c>
      <c r="P33" s="11">
        <f>10495.02-293.76</f>
        <v>10201.26</v>
      </c>
      <c r="Q33" s="12">
        <v>5.4800000000000001E-2</v>
      </c>
      <c r="R33" s="12">
        <v>9.01E-2</v>
      </c>
      <c r="S33" s="12">
        <f>P33/'סכום נכסי הקרן'!$C$42</f>
        <v>2.8052808609583826E-3</v>
      </c>
    </row>
    <row r="34" spans="2:19">
      <c r="B34" s="10" t="s">
        <v>1256</v>
      </c>
      <c r="C34" s="43">
        <v>6620215</v>
      </c>
      <c r="D34" s="10"/>
      <c r="E34" s="10">
        <v>662</v>
      </c>
      <c r="F34" s="10" t="s">
        <v>220</v>
      </c>
      <c r="G34" s="10" t="s">
        <v>181</v>
      </c>
      <c r="H34" s="10" t="s">
        <v>95</v>
      </c>
      <c r="I34" s="10" t="s">
        <v>1257</v>
      </c>
      <c r="J34" s="43">
        <v>1.98</v>
      </c>
      <c r="K34" s="10" t="s">
        <v>96</v>
      </c>
      <c r="L34" s="44">
        <v>5.7500000000000002E-2</v>
      </c>
      <c r="M34" s="12">
        <v>1.2800000000000001E-2</v>
      </c>
      <c r="N34" s="11">
        <v>2000000</v>
      </c>
      <c r="O34" s="11">
        <v>136.09</v>
      </c>
      <c r="P34" s="11">
        <v>2721.8</v>
      </c>
      <c r="Q34" s="12">
        <v>4.3E-3</v>
      </c>
      <c r="R34" s="12">
        <v>2.3400000000000001E-2</v>
      </c>
      <c r="S34" s="12">
        <f>P34/'סכום נכסי הקרן'!$C$42</f>
        <v>7.4847748683559928E-4</v>
      </c>
    </row>
    <row r="35" spans="2:19">
      <c r="B35" s="10" t="s">
        <v>1258</v>
      </c>
      <c r="C35" s="43">
        <v>6620280</v>
      </c>
      <c r="D35" s="10"/>
      <c r="E35" s="10">
        <v>662</v>
      </c>
      <c r="F35" s="10" t="s">
        <v>220</v>
      </c>
      <c r="G35" s="10" t="s">
        <v>181</v>
      </c>
      <c r="H35" s="10" t="s">
        <v>95</v>
      </c>
      <c r="I35" s="10" t="s">
        <v>1259</v>
      </c>
      <c r="J35" s="43">
        <v>5.08</v>
      </c>
      <c r="K35" s="10" t="s">
        <v>96</v>
      </c>
      <c r="L35" s="44">
        <v>5.7500000000000002E-2</v>
      </c>
      <c r="M35" s="12">
        <v>1.12E-2</v>
      </c>
      <c r="N35" s="11">
        <v>7300000</v>
      </c>
      <c r="O35" s="11">
        <v>148.35</v>
      </c>
      <c r="P35" s="11">
        <v>10829.55</v>
      </c>
      <c r="Q35" s="12">
        <v>5.5999999999999999E-3</v>
      </c>
      <c r="R35" s="12">
        <v>9.2999999999999999E-2</v>
      </c>
      <c r="S35" s="12">
        <f>P35/'סכום נכסי הקרן'!$C$42</f>
        <v>2.9780565682858634E-3</v>
      </c>
    </row>
    <row r="36" spans="2:19">
      <c r="B36" s="10" t="s">
        <v>1260</v>
      </c>
      <c r="C36" s="43">
        <v>1132208</v>
      </c>
      <c r="D36" s="10"/>
      <c r="E36" s="10"/>
      <c r="F36" s="10" t="s">
        <v>1261</v>
      </c>
      <c r="G36" s="10" t="s">
        <v>181</v>
      </c>
      <c r="H36" s="10" t="s">
        <v>240</v>
      </c>
      <c r="I36" s="10" t="s">
        <v>1262</v>
      </c>
      <c r="J36" s="43">
        <v>3.52</v>
      </c>
      <c r="K36" s="10" t="s">
        <v>96</v>
      </c>
      <c r="L36" s="44">
        <v>3.9E-2</v>
      </c>
      <c r="M36" s="12">
        <v>2.2100000000000002E-2</v>
      </c>
      <c r="N36" s="11">
        <v>2462250.2400000002</v>
      </c>
      <c r="O36" s="11">
        <v>106.93</v>
      </c>
      <c r="P36" s="11">
        <v>2632.88</v>
      </c>
      <c r="Q36" s="12">
        <v>2.1899999999999999E-2</v>
      </c>
      <c r="R36" s="12">
        <v>2.2599999999999999E-2</v>
      </c>
      <c r="S36" s="12">
        <f>P36/'סכום נכסי הקרן'!$C$42</f>
        <v>7.2402505898292032E-4</v>
      </c>
    </row>
    <row r="37" spans="2:19">
      <c r="B37" s="10" t="s">
        <v>1263</v>
      </c>
      <c r="C37" s="43">
        <v>1099639</v>
      </c>
      <c r="D37" s="10"/>
      <c r="E37" s="10">
        <v>1095</v>
      </c>
      <c r="F37" s="10" t="s">
        <v>307</v>
      </c>
      <c r="G37" s="10" t="s">
        <v>333</v>
      </c>
      <c r="H37" s="10" t="s">
        <v>95</v>
      </c>
      <c r="I37" s="10" t="s">
        <v>1264</v>
      </c>
      <c r="J37" s="43">
        <v>0.79</v>
      </c>
      <c r="K37" s="10" t="s">
        <v>96</v>
      </c>
      <c r="L37" s="44">
        <v>5.3499999999999999E-2</v>
      </c>
      <c r="M37" s="12">
        <v>1.3599999999999999E-2</v>
      </c>
      <c r="N37" s="11">
        <v>92000.18</v>
      </c>
      <c r="O37" s="11">
        <v>123.35</v>
      </c>
      <c r="P37" s="11">
        <v>113.48</v>
      </c>
      <c r="Q37" s="12">
        <v>2.9999999999999997E-4</v>
      </c>
      <c r="R37" s="12">
        <v>1E-3</v>
      </c>
      <c r="S37" s="12">
        <f>P37/'סכום נכסי הקרן'!$C$42</f>
        <v>3.1206269823684255E-5</v>
      </c>
    </row>
    <row r="38" spans="2:19">
      <c r="B38" s="10" t="s">
        <v>1265</v>
      </c>
      <c r="C38" s="43">
        <v>901501007</v>
      </c>
      <c r="D38" s="10"/>
      <c r="E38" s="10"/>
      <c r="F38" s="10" t="s">
        <v>356</v>
      </c>
      <c r="G38" s="10" t="s">
        <v>333</v>
      </c>
      <c r="H38" s="10" t="s">
        <v>95</v>
      </c>
      <c r="I38" s="10" t="s">
        <v>1266</v>
      </c>
      <c r="J38" s="43">
        <v>2.5</v>
      </c>
      <c r="K38" s="10" t="s">
        <v>96</v>
      </c>
      <c r="L38" s="44">
        <v>7.0900000000000005E-2</v>
      </c>
      <c r="M38" s="12">
        <v>1.1900000000000001E-2</v>
      </c>
      <c r="N38" s="11">
        <v>10599315.59</v>
      </c>
      <c r="O38" s="11">
        <v>141.13999999999999</v>
      </c>
      <c r="P38" s="11">
        <v>14959.87</v>
      </c>
      <c r="Q38" s="7"/>
      <c r="R38" s="12">
        <v>0.1285</v>
      </c>
      <c r="S38" s="12">
        <f>P38/'סכום נכסי הקרן'!$C$42</f>
        <v>4.1138679921328813E-3</v>
      </c>
    </row>
    <row r="39" spans="2:19">
      <c r="B39" s="10" t="s">
        <v>1267</v>
      </c>
      <c r="C39" s="43">
        <v>1139740</v>
      </c>
      <c r="D39" s="10"/>
      <c r="E39" s="10"/>
      <c r="F39" s="10" t="s">
        <v>320</v>
      </c>
      <c r="G39" s="10" t="s">
        <v>333</v>
      </c>
      <c r="H39" s="10" t="s">
        <v>240</v>
      </c>
      <c r="I39" s="10" t="s">
        <v>1268</v>
      </c>
      <c r="J39" s="43">
        <v>3.29</v>
      </c>
      <c r="K39" s="10" t="s">
        <v>96</v>
      </c>
      <c r="L39" s="44">
        <v>3.15E-2</v>
      </c>
      <c r="M39" s="12">
        <v>3.1199999999999999E-2</v>
      </c>
      <c r="N39" s="11">
        <v>3135000</v>
      </c>
      <c r="O39" s="11">
        <v>100.23</v>
      </c>
      <c r="P39" s="11">
        <v>3142.21</v>
      </c>
      <c r="Q39" s="12">
        <v>1.04E-2</v>
      </c>
      <c r="R39" s="12">
        <v>2.7E-2</v>
      </c>
      <c r="S39" s="12">
        <f>P39/'סכום נכסי הקרן'!$C$42</f>
        <v>8.6408753174725857E-4</v>
      </c>
    </row>
    <row r="40" spans="2:19">
      <c r="B40" s="10" t="s">
        <v>1269</v>
      </c>
      <c r="C40" s="43">
        <v>1092774</v>
      </c>
      <c r="D40" s="10"/>
      <c r="E40" s="10">
        <v>1229</v>
      </c>
      <c r="F40" s="10" t="s">
        <v>239</v>
      </c>
      <c r="G40" s="10" t="s">
        <v>360</v>
      </c>
      <c r="H40" s="10" t="s">
        <v>95</v>
      </c>
      <c r="I40" s="10" t="s">
        <v>1270</v>
      </c>
      <c r="J40" s="43">
        <v>1.96</v>
      </c>
      <c r="K40" s="10" t="s">
        <v>96</v>
      </c>
      <c r="L40" s="44">
        <v>6.7000000000000004E-2</v>
      </c>
      <c r="M40" s="12">
        <v>5.04E-2</v>
      </c>
      <c r="N40" s="11">
        <v>6863.45</v>
      </c>
      <c r="O40" s="11">
        <v>128.82</v>
      </c>
      <c r="P40" s="11">
        <v>8.84</v>
      </c>
      <c r="Q40" s="12">
        <v>0</v>
      </c>
      <c r="R40" s="12">
        <v>1E-4</v>
      </c>
      <c r="S40" s="12">
        <f>P40/'סכום נכסי הקרן'!$C$42</f>
        <v>2.4309431198569688E-6</v>
      </c>
    </row>
    <row r="41" spans="2:19">
      <c r="B41" s="10" t="s">
        <v>1271</v>
      </c>
      <c r="C41" s="43">
        <v>1092162</v>
      </c>
      <c r="D41" s="10"/>
      <c r="E41" s="10">
        <v>1229</v>
      </c>
      <c r="F41" s="10" t="s">
        <v>239</v>
      </c>
      <c r="G41" s="10" t="s">
        <v>360</v>
      </c>
      <c r="H41" s="10" t="s">
        <v>95</v>
      </c>
      <c r="I41" s="10" t="s">
        <v>1272</v>
      </c>
      <c r="J41" s="43">
        <v>1.92</v>
      </c>
      <c r="K41" s="10" t="s">
        <v>96</v>
      </c>
      <c r="L41" s="44">
        <v>7.0000000000000007E-2</v>
      </c>
      <c r="M41" s="12">
        <v>4.36E-2</v>
      </c>
      <c r="N41" s="11">
        <v>5264.32</v>
      </c>
      <c r="O41" s="11">
        <v>130.11000000000001</v>
      </c>
      <c r="P41" s="11">
        <v>6.85</v>
      </c>
      <c r="Q41" s="12">
        <v>1E-4</v>
      </c>
      <c r="R41" s="12">
        <v>1E-4</v>
      </c>
      <c r="S41" s="12">
        <f>P41/'סכום נכסי הקרן'!$C$42</f>
        <v>1.883705924323556E-6</v>
      </c>
    </row>
    <row r="42" spans="2:19">
      <c r="B42" s="10" t="s">
        <v>1273</v>
      </c>
      <c r="C42" s="43">
        <v>1094747</v>
      </c>
      <c r="D42" s="10"/>
      <c r="E42" s="10">
        <v>1229</v>
      </c>
      <c r="F42" s="10" t="s">
        <v>239</v>
      </c>
      <c r="G42" s="10" t="s">
        <v>360</v>
      </c>
      <c r="H42" s="10" t="s">
        <v>95</v>
      </c>
      <c r="I42" s="10" t="s">
        <v>1274</v>
      </c>
      <c r="J42" s="43">
        <v>2.25</v>
      </c>
      <c r="K42" s="10" t="s">
        <v>96</v>
      </c>
      <c r="L42" s="44">
        <v>6.7000000000000004E-2</v>
      </c>
      <c r="M42" s="12">
        <v>5.0200000000000002E-2</v>
      </c>
      <c r="N42" s="11">
        <v>1927513.46</v>
      </c>
      <c r="O42" s="11">
        <v>126.63</v>
      </c>
      <c r="P42" s="11">
        <v>2440.81</v>
      </c>
      <c r="Q42" s="12">
        <v>2.81E-2</v>
      </c>
      <c r="R42" s="12">
        <v>2.1000000000000001E-2</v>
      </c>
      <c r="S42" s="12">
        <f>P42/'סכום נכסי הקרן'!$C$42</f>
        <v>6.7120704483915013E-4</v>
      </c>
    </row>
    <row r="43" spans="2:19">
      <c r="B43" s="10" t="s">
        <v>1275</v>
      </c>
      <c r="C43" s="43">
        <v>1119049</v>
      </c>
      <c r="D43" s="10"/>
      <c r="E43" s="10">
        <v>1541</v>
      </c>
      <c r="F43" s="10" t="s">
        <v>356</v>
      </c>
      <c r="G43" s="10" t="s">
        <v>201</v>
      </c>
      <c r="H43" s="10" t="s">
        <v>240</v>
      </c>
      <c r="I43" s="10" t="s">
        <v>1276</v>
      </c>
      <c r="J43" s="43">
        <v>2.37</v>
      </c>
      <c r="K43" s="10" t="s">
        <v>96</v>
      </c>
      <c r="L43" s="44">
        <v>4.6300000000000001E-2</v>
      </c>
      <c r="M43" s="12">
        <v>2.4799999999999999E-2</v>
      </c>
      <c r="N43" s="11">
        <v>4115001.34</v>
      </c>
      <c r="O43" s="11">
        <v>114.87</v>
      </c>
      <c r="P43" s="11">
        <v>4726.8999999999996</v>
      </c>
      <c r="Q43" s="12">
        <v>2.06E-2</v>
      </c>
      <c r="R43" s="12">
        <v>4.0599999999999997E-2</v>
      </c>
      <c r="S43" s="12">
        <f>P43/'סכום נכסי הקרן'!$C$42</f>
        <v>1.2998670852094915E-3</v>
      </c>
    </row>
    <row r="44" spans="2:19">
      <c r="B44" s="10" t="s">
        <v>1277</v>
      </c>
      <c r="C44" s="43">
        <v>1101567</v>
      </c>
      <c r="D44" s="10"/>
      <c r="E44" s="10">
        <v>2202</v>
      </c>
      <c r="F44" s="10" t="s">
        <v>356</v>
      </c>
      <c r="G44" s="10" t="s">
        <v>1278</v>
      </c>
      <c r="H44" s="10" t="s">
        <v>95</v>
      </c>
      <c r="I44" s="10" t="s">
        <v>1279</v>
      </c>
      <c r="J44" s="43">
        <v>2.12</v>
      </c>
      <c r="K44" s="10" t="s">
        <v>96</v>
      </c>
      <c r="L44" s="44">
        <v>5.6000000000000001E-2</v>
      </c>
      <c r="M44" s="12">
        <v>0.2412</v>
      </c>
      <c r="N44" s="11">
        <v>2117097.96</v>
      </c>
      <c r="O44" s="11">
        <v>83.11</v>
      </c>
      <c r="P44" s="11">
        <v>1759.52</v>
      </c>
      <c r="Q44" s="12">
        <v>1.6999999999999999E-3</v>
      </c>
      <c r="R44" s="12">
        <v>1.5100000000000001E-2</v>
      </c>
      <c r="S44" s="12">
        <f>P44/'סכום נכסי הקרן'!$C$42</f>
        <v>4.8385667853515087E-4</v>
      </c>
    </row>
    <row r="45" spans="2:19">
      <c r="B45" s="10" t="s">
        <v>1280</v>
      </c>
      <c r="C45" s="43">
        <v>1109180</v>
      </c>
      <c r="D45" s="10"/>
      <c r="E45" s="10">
        <v>1507</v>
      </c>
      <c r="F45" s="10" t="s">
        <v>330</v>
      </c>
      <c r="G45" s="10"/>
      <c r="H45" s="10"/>
      <c r="I45" s="10" t="s">
        <v>1281</v>
      </c>
      <c r="J45" s="7"/>
      <c r="K45" s="10" t="s">
        <v>96</v>
      </c>
      <c r="L45" s="44">
        <v>6.1499999999999999E-2</v>
      </c>
      <c r="M45" s="12">
        <v>2.8582000000000001</v>
      </c>
      <c r="N45" s="11">
        <v>712500.03</v>
      </c>
      <c r="O45" s="11">
        <v>0</v>
      </c>
      <c r="P45" s="11">
        <v>0</v>
      </c>
      <c r="Q45" s="12">
        <v>4.4999999999999997E-3</v>
      </c>
      <c r="R45" s="12">
        <v>0</v>
      </c>
      <c r="S45" s="12">
        <f>P45/'סכום נכסי הקרן'!$C$42</f>
        <v>0</v>
      </c>
    </row>
    <row r="46" spans="2:19">
      <c r="B46" s="10" t="s">
        <v>1282</v>
      </c>
      <c r="C46" s="43">
        <v>1126770</v>
      </c>
      <c r="D46" s="10"/>
      <c r="E46" s="10">
        <v>1507</v>
      </c>
      <c r="F46" s="10" t="s">
        <v>330</v>
      </c>
      <c r="G46" s="10"/>
      <c r="H46" s="10"/>
      <c r="I46" s="10"/>
      <c r="J46" s="7"/>
      <c r="K46" s="10" t="s">
        <v>96</v>
      </c>
      <c r="L46" s="7"/>
      <c r="M46" s="7"/>
      <c r="N46" s="11">
        <v>142500</v>
      </c>
      <c r="O46" s="11">
        <v>0</v>
      </c>
      <c r="P46" s="11">
        <v>0</v>
      </c>
      <c r="Q46" s="12">
        <v>8.9999999999999998E-4</v>
      </c>
      <c r="R46" s="12">
        <v>0</v>
      </c>
      <c r="S46" s="12">
        <f>P46/'סכום נכסי הקרן'!$C$42</f>
        <v>0</v>
      </c>
    </row>
    <row r="47" spans="2:19">
      <c r="B47" s="10" t="s">
        <v>1283</v>
      </c>
      <c r="C47" s="43">
        <v>1790054</v>
      </c>
      <c r="D47" s="10"/>
      <c r="E47" s="10">
        <v>179</v>
      </c>
      <c r="F47" s="10" t="s">
        <v>239</v>
      </c>
      <c r="G47" s="10"/>
      <c r="H47" s="10"/>
      <c r="I47" s="10"/>
      <c r="J47" s="7"/>
      <c r="K47" s="10" t="s">
        <v>96</v>
      </c>
      <c r="L47" s="44">
        <v>5.7000000000000002E-2</v>
      </c>
      <c r="M47" s="7"/>
      <c r="N47" s="11">
        <v>53202.9</v>
      </c>
      <c r="O47" s="11">
        <v>0</v>
      </c>
      <c r="P47" s="11">
        <v>0</v>
      </c>
      <c r="Q47" s="12">
        <v>5.9999999999999995E-4</v>
      </c>
      <c r="R47" s="12">
        <v>0</v>
      </c>
      <c r="S47" s="12">
        <f>P47/'סכום נכסי הקרן'!$C$42</f>
        <v>0</v>
      </c>
    </row>
    <row r="48" spans="2:19">
      <c r="B48" s="10" t="s">
        <v>1284</v>
      </c>
      <c r="C48" s="43">
        <v>1790062</v>
      </c>
      <c r="D48" s="10"/>
      <c r="E48" s="10">
        <v>179</v>
      </c>
      <c r="F48" s="10" t="s">
        <v>239</v>
      </c>
      <c r="G48" s="10"/>
      <c r="H48" s="10"/>
      <c r="I48" s="10"/>
      <c r="J48" s="7"/>
      <c r="K48" s="10" t="s">
        <v>96</v>
      </c>
      <c r="L48" s="44">
        <v>5.8999999999999997E-2</v>
      </c>
      <c r="M48" s="7"/>
      <c r="N48" s="11">
        <v>145094.69</v>
      </c>
      <c r="O48" s="11">
        <v>0</v>
      </c>
      <c r="P48" s="11">
        <v>0</v>
      </c>
      <c r="Q48" s="12">
        <v>1.1999999999999999E-3</v>
      </c>
      <c r="R48" s="12">
        <v>0</v>
      </c>
      <c r="S48" s="12">
        <f>P48/'סכום נכסי הקרן'!$C$42</f>
        <v>0</v>
      </c>
    </row>
    <row r="49" spans="2:19">
      <c r="B49" s="10" t="s">
        <v>1285</v>
      </c>
      <c r="C49" s="43">
        <v>1100833</v>
      </c>
      <c r="D49" s="10"/>
      <c r="E49" s="10">
        <v>2023</v>
      </c>
      <c r="F49" s="10" t="s">
        <v>307</v>
      </c>
      <c r="G49" s="10"/>
      <c r="H49" s="10"/>
      <c r="I49" s="10"/>
      <c r="J49" s="7"/>
      <c r="K49" s="10" t="s">
        <v>96</v>
      </c>
      <c r="L49" s="7"/>
      <c r="M49" s="7"/>
      <c r="N49" s="11">
        <v>669712</v>
      </c>
      <c r="O49" s="11">
        <v>15</v>
      </c>
      <c r="P49" s="11">
        <v>100.46</v>
      </c>
      <c r="Q49" s="7"/>
      <c r="R49" s="12">
        <v>8.9999999999999998E-4</v>
      </c>
      <c r="S49" s="12">
        <f>P49/'סכום נכסי הקרן'!$C$42</f>
        <v>2.7625853599641522E-5</v>
      </c>
    </row>
    <row r="50" spans="2:19">
      <c r="B50" s="10" t="s">
        <v>1286</v>
      </c>
      <c r="C50" s="43">
        <v>1110378</v>
      </c>
      <c r="D50" s="10"/>
      <c r="E50" s="10">
        <v>2023</v>
      </c>
      <c r="F50" s="10" t="s">
        <v>307</v>
      </c>
      <c r="G50" s="10"/>
      <c r="H50" s="10"/>
      <c r="I50" s="10"/>
      <c r="J50" s="7"/>
      <c r="K50" s="10" t="s">
        <v>96</v>
      </c>
      <c r="L50" s="7"/>
      <c r="M50" s="7"/>
      <c r="N50" s="11">
        <v>695522.19</v>
      </c>
      <c r="O50" s="11">
        <v>15</v>
      </c>
      <c r="P50" s="11">
        <v>104.33</v>
      </c>
      <c r="Q50" s="7"/>
      <c r="R50" s="12">
        <v>8.9999999999999998E-4</v>
      </c>
      <c r="S50" s="12">
        <f>P50/'סכום נכסי הקרן'!$C$42</f>
        <v>2.8690078698492935E-5</v>
      </c>
    </row>
    <row r="51" spans="2:19">
      <c r="B51" s="10" t="s">
        <v>1287</v>
      </c>
      <c r="C51" s="43">
        <v>1125624</v>
      </c>
      <c r="D51" s="10"/>
      <c r="E51" s="10">
        <v>2023</v>
      </c>
      <c r="F51" s="10" t="s">
        <v>307</v>
      </c>
      <c r="G51" s="10"/>
      <c r="H51" s="10"/>
      <c r="I51" s="10"/>
      <c r="J51" s="7"/>
      <c r="K51" s="10" t="s">
        <v>96</v>
      </c>
      <c r="L51" s="7"/>
      <c r="M51" s="7"/>
      <c r="N51" s="11">
        <v>695522.2</v>
      </c>
      <c r="O51" s="11">
        <v>15</v>
      </c>
      <c r="P51" s="11">
        <v>104.33</v>
      </c>
      <c r="Q51" s="12">
        <v>1.5E-3</v>
      </c>
      <c r="R51" s="12">
        <v>8.9999999999999998E-4</v>
      </c>
      <c r="S51" s="12">
        <f>P51/'סכום נכסי הקרן'!$C$42</f>
        <v>2.8690078698492935E-5</v>
      </c>
    </row>
    <row r="52" spans="2:19">
      <c r="B52" s="10" t="s">
        <v>1288</v>
      </c>
      <c r="C52" s="43">
        <v>1127679</v>
      </c>
      <c r="D52" s="10"/>
      <c r="E52" s="10">
        <v>2023</v>
      </c>
      <c r="F52" s="10" t="s">
        <v>307</v>
      </c>
      <c r="G52" s="10"/>
      <c r="H52" s="10"/>
      <c r="I52" s="10"/>
      <c r="J52" s="7"/>
      <c r="K52" s="10" t="s">
        <v>96</v>
      </c>
      <c r="L52" s="7"/>
      <c r="M52" s="7"/>
      <c r="N52" s="11">
        <v>695522.2</v>
      </c>
      <c r="O52" s="11">
        <v>15</v>
      </c>
      <c r="P52" s="11">
        <v>104.33</v>
      </c>
      <c r="Q52" s="7"/>
      <c r="R52" s="12">
        <v>8.9999999999999998E-4</v>
      </c>
      <c r="S52" s="12">
        <f>P52/'סכום נכסי הקרן'!$C$42</f>
        <v>2.8690078698492935E-5</v>
      </c>
    </row>
    <row r="53" spans="2:19">
      <c r="B53" s="10" t="s">
        <v>1289</v>
      </c>
      <c r="C53" s="43">
        <v>1131184</v>
      </c>
      <c r="D53" s="10"/>
      <c r="E53" s="10">
        <v>2023</v>
      </c>
      <c r="F53" s="10" t="s">
        <v>307</v>
      </c>
      <c r="G53" s="10"/>
      <c r="H53" s="10"/>
      <c r="I53" s="10"/>
      <c r="J53" s="7"/>
      <c r="K53" s="10" t="s">
        <v>96</v>
      </c>
      <c r="L53" s="7"/>
      <c r="M53" s="7"/>
      <c r="N53" s="11">
        <v>695522.15</v>
      </c>
      <c r="O53" s="11">
        <v>15</v>
      </c>
      <c r="P53" s="11">
        <v>104.33</v>
      </c>
      <c r="Q53" s="7"/>
      <c r="R53" s="12">
        <v>8.9999999999999998E-4</v>
      </c>
      <c r="S53" s="12">
        <f>P53/'סכום נכסי הקרן'!$C$42</f>
        <v>2.8690078698492935E-5</v>
      </c>
    </row>
    <row r="54" spans="2:19">
      <c r="B54" s="10" t="s">
        <v>1290</v>
      </c>
      <c r="C54" s="43">
        <v>1134394</v>
      </c>
      <c r="D54" s="10"/>
      <c r="E54" s="10">
        <v>2023</v>
      </c>
      <c r="F54" s="10" t="s">
        <v>307</v>
      </c>
      <c r="G54" s="10"/>
      <c r="H54" s="10"/>
      <c r="I54" s="10"/>
      <c r="J54" s="7"/>
      <c r="K54" s="10" t="s">
        <v>96</v>
      </c>
      <c r="L54" s="7"/>
      <c r="M54" s="7"/>
      <c r="N54" s="11">
        <v>695522.22</v>
      </c>
      <c r="O54" s="11">
        <v>15</v>
      </c>
      <c r="P54" s="11">
        <v>104.33</v>
      </c>
      <c r="Q54" s="7"/>
      <c r="R54" s="12">
        <v>8.9999999999999998E-4</v>
      </c>
      <c r="S54" s="12">
        <f>P54/'סכום נכסי הקרן'!$C$42</f>
        <v>2.8690078698492935E-5</v>
      </c>
    </row>
    <row r="55" spans="2:19">
      <c r="B55" s="10" t="s">
        <v>1291</v>
      </c>
      <c r="C55" s="43">
        <v>3720075</v>
      </c>
      <c r="D55" s="10"/>
      <c r="E55" s="10">
        <v>372</v>
      </c>
      <c r="F55" s="10" t="s">
        <v>239</v>
      </c>
      <c r="G55" s="10"/>
      <c r="H55" s="10"/>
      <c r="I55" s="10"/>
      <c r="J55" s="7"/>
      <c r="K55" s="10" t="s">
        <v>96</v>
      </c>
      <c r="L55" s="44">
        <v>4.9000000000000002E-2</v>
      </c>
      <c r="M55" s="7"/>
      <c r="N55" s="11">
        <v>211510.56</v>
      </c>
      <c r="O55" s="11">
        <v>18.8</v>
      </c>
      <c r="P55" s="11">
        <v>39.76</v>
      </c>
      <c r="Q55" s="12">
        <v>3.0999999999999999E-3</v>
      </c>
      <c r="R55" s="12">
        <v>2.9999999999999997E-4</v>
      </c>
      <c r="S55" s="12">
        <f>P55/'סכום נכסי הקרן'!$C$42</f>
        <v>1.0933744168044464E-5</v>
      </c>
    </row>
    <row r="56" spans="2:19">
      <c r="B56" s="10" t="s">
        <v>1292</v>
      </c>
      <c r="C56" s="43">
        <v>4150124</v>
      </c>
      <c r="D56" s="10"/>
      <c r="E56" s="10">
        <v>415</v>
      </c>
      <c r="F56" s="10" t="s">
        <v>239</v>
      </c>
      <c r="G56" s="10"/>
      <c r="H56" s="10"/>
      <c r="I56" s="10"/>
      <c r="J56" s="7"/>
      <c r="K56" s="10" t="s">
        <v>96</v>
      </c>
      <c r="L56" s="44">
        <v>0.05</v>
      </c>
      <c r="M56" s="7"/>
      <c r="N56" s="11">
        <v>582124.9</v>
      </c>
      <c r="O56" s="11">
        <v>23.4</v>
      </c>
      <c r="P56" s="11">
        <v>136.22</v>
      </c>
      <c r="Q56" s="12">
        <v>1.8E-3</v>
      </c>
      <c r="R56" s="12">
        <v>1.1999999999999999E-3</v>
      </c>
      <c r="S56" s="12">
        <f>P56/'סכום נכסי הקרן'!$C$42</f>
        <v>3.7459623505307268E-5</v>
      </c>
    </row>
    <row r="57" spans="2:19">
      <c r="B57" s="10" t="s">
        <v>1293</v>
      </c>
      <c r="C57" s="43">
        <v>1095942</v>
      </c>
      <c r="D57" s="10"/>
      <c r="E57" s="10">
        <v>1303</v>
      </c>
      <c r="F57" s="10" t="s">
        <v>239</v>
      </c>
      <c r="G57" s="10"/>
      <c r="H57" s="10"/>
      <c r="I57" s="10"/>
      <c r="J57" s="7"/>
      <c r="K57" s="10" t="s">
        <v>96</v>
      </c>
      <c r="L57" s="44">
        <v>0.06</v>
      </c>
      <c r="M57" s="7"/>
      <c r="N57" s="11">
        <v>1089111.03</v>
      </c>
      <c r="O57" s="11">
        <v>0</v>
      </c>
      <c r="P57" s="11">
        <v>0</v>
      </c>
      <c r="Q57" s="12">
        <v>6.4000000000000003E-3</v>
      </c>
      <c r="R57" s="12">
        <v>0</v>
      </c>
      <c r="S57" s="12">
        <f>P57/'סכום נכסי הקרן'!$C$42</f>
        <v>0</v>
      </c>
    </row>
    <row r="58" spans="2:19">
      <c r="B58" s="10" t="s">
        <v>1294</v>
      </c>
      <c r="C58" s="43">
        <v>1113562</v>
      </c>
      <c r="D58" s="10"/>
      <c r="E58" s="10">
        <v>1303</v>
      </c>
      <c r="F58" s="10" t="s">
        <v>239</v>
      </c>
      <c r="G58" s="10"/>
      <c r="H58" s="10"/>
      <c r="I58" s="10"/>
      <c r="J58" s="7"/>
      <c r="K58" s="10" t="s">
        <v>96</v>
      </c>
      <c r="L58" s="7"/>
      <c r="M58" s="7"/>
      <c r="N58" s="11">
        <v>181518.26</v>
      </c>
      <c r="O58" s="11">
        <v>0</v>
      </c>
      <c r="P58" s="11">
        <v>0</v>
      </c>
      <c r="Q58" s="12">
        <v>1.1000000000000001E-3</v>
      </c>
      <c r="R58" s="12">
        <v>0</v>
      </c>
      <c r="S58" s="12">
        <f>P58/'סכום נכסי הקרן'!$C$42</f>
        <v>0</v>
      </c>
    </row>
    <row r="59" spans="2:19">
      <c r="B59" s="10" t="s">
        <v>1295</v>
      </c>
      <c r="C59" s="43">
        <v>1115096</v>
      </c>
      <c r="D59" s="10"/>
      <c r="E59" s="10">
        <v>2221</v>
      </c>
      <c r="F59" s="10" t="s">
        <v>356</v>
      </c>
      <c r="G59" s="10"/>
      <c r="H59" s="10"/>
      <c r="I59" s="10"/>
      <c r="J59" s="7"/>
      <c r="K59" s="10" t="s">
        <v>96</v>
      </c>
      <c r="L59" s="7"/>
      <c r="M59" s="7"/>
      <c r="N59" s="11">
        <v>141593</v>
      </c>
      <c r="O59" s="11">
        <v>8.56</v>
      </c>
      <c r="P59" s="11">
        <v>12.12</v>
      </c>
      <c r="Q59" s="7"/>
      <c r="R59" s="12">
        <v>1E-4</v>
      </c>
      <c r="S59" s="12">
        <f>P59/'סכום נכסי הקרן'!$C$42</f>
        <v>3.3329220150075181E-6</v>
      </c>
    </row>
    <row r="60" spans="2:19">
      <c r="B60" s="10" t="s">
        <v>1296</v>
      </c>
      <c r="C60" s="43">
        <v>1112911</v>
      </c>
      <c r="D60" s="10"/>
      <c r="E60" s="10">
        <v>2221</v>
      </c>
      <c r="F60" s="10" t="s">
        <v>356</v>
      </c>
      <c r="G60" s="10"/>
      <c r="H60" s="10"/>
      <c r="I60" s="10"/>
      <c r="J60" s="7"/>
      <c r="K60" s="10" t="s">
        <v>96</v>
      </c>
      <c r="L60" s="44">
        <v>0.10150000000000001</v>
      </c>
      <c r="M60" s="7"/>
      <c r="N60" s="11">
        <v>1488900</v>
      </c>
      <c r="O60" s="11">
        <v>8.56</v>
      </c>
      <c r="P60" s="11">
        <v>127.45</v>
      </c>
      <c r="Q60" s="12">
        <v>1.95E-2</v>
      </c>
      <c r="R60" s="12">
        <v>1.1000000000000001E-3</v>
      </c>
      <c r="S60" s="12">
        <f>P60/'סכום נכסי הקרן'!$C$42</f>
        <v>3.5047929935041933E-5</v>
      </c>
    </row>
    <row r="61" spans="2:19">
      <c r="B61" s="10" t="s">
        <v>1297</v>
      </c>
      <c r="C61" s="43">
        <v>1117548</v>
      </c>
      <c r="D61" s="10"/>
      <c r="E61" s="10">
        <v>2221</v>
      </c>
      <c r="F61" s="10" t="s">
        <v>356</v>
      </c>
      <c r="G61" s="10"/>
      <c r="H61" s="10"/>
      <c r="I61" s="10"/>
      <c r="J61" s="7"/>
      <c r="K61" s="10" t="s">
        <v>96</v>
      </c>
      <c r="L61" s="7"/>
      <c r="M61" s="7"/>
      <c r="N61" s="11">
        <v>212700</v>
      </c>
      <c r="O61" s="11">
        <v>8.56</v>
      </c>
      <c r="P61" s="11">
        <v>18.21</v>
      </c>
      <c r="Q61" s="7"/>
      <c r="R61" s="12">
        <v>2.0000000000000001E-4</v>
      </c>
      <c r="S61" s="12">
        <f>P61/'סכום נכסי הקרן'!$C$42</f>
        <v>5.0076328294791179E-6</v>
      </c>
    </row>
    <row r="62" spans="2:19">
      <c r="B62" s="10" t="s">
        <v>1298</v>
      </c>
      <c r="C62" s="43">
        <v>4550058</v>
      </c>
      <c r="D62" s="10"/>
      <c r="E62" s="10">
        <v>455</v>
      </c>
      <c r="F62" s="10" t="s">
        <v>184</v>
      </c>
      <c r="G62" s="10"/>
      <c r="H62" s="10"/>
      <c r="I62" s="10" t="s">
        <v>1299</v>
      </c>
      <c r="J62" s="43">
        <v>0.17</v>
      </c>
      <c r="K62" s="10" t="s">
        <v>96</v>
      </c>
      <c r="L62" s="44">
        <v>5.2499999999999998E-2</v>
      </c>
      <c r="M62" s="12">
        <v>2.76E-2</v>
      </c>
      <c r="N62" s="11">
        <v>25110</v>
      </c>
      <c r="O62" s="11">
        <v>125.24</v>
      </c>
      <c r="P62" s="11">
        <v>31.45</v>
      </c>
      <c r="Q62" s="7"/>
      <c r="R62" s="12">
        <v>2.9999999999999997E-4</v>
      </c>
      <c r="S62" s="12">
        <f>P62/'סכום נכסי הקרן'!$C$42</f>
        <v>8.6485476379526768E-6</v>
      </c>
    </row>
    <row r="63" spans="2:19">
      <c r="B63" s="10" t="s">
        <v>1300</v>
      </c>
      <c r="C63" s="43">
        <v>1134709</v>
      </c>
      <c r="D63" s="10"/>
      <c r="E63" s="10">
        <v>2009</v>
      </c>
      <c r="F63" s="10" t="s">
        <v>330</v>
      </c>
      <c r="G63" s="10"/>
      <c r="H63" s="10"/>
      <c r="I63" s="10" t="s">
        <v>1301</v>
      </c>
      <c r="J63" s="7"/>
      <c r="K63" s="10" t="s">
        <v>96</v>
      </c>
      <c r="L63" s="44">
        <v>0.05</v>
      </c>
      <c r="M63" s="12">
        <v>0.05</v>
      </c>
      <c r="N63" s="11">
        <v>630665.56000000006</v>
      </c>
      <c r="O63" s="11">
        <v>0</v>
      </c>
      <c r="P63" s="11">
        <v>0</v>
      </c>
      <c r="Q63" s="7"/>
      <c r="R63" s="12">
        <v>0</v>
      </c>
      <c r="S63" s="12">
        <f>P63/'סכום נכסי הקרן'!$C$42</f>
        <v>0</v>
      </c>
    </row>
    <row r="64" spans="2:19">
      <c r="B64" s="10"/>
      <c r="C64" s="43"/>
      <c r="D64" s="10"/>
      <c r="E64" s="10"/>
      <c r="F64" s="10"/>
      <c r="G64" s="10"/>
      <c r="H64" s="10"/>
      <c r="I64" s="10"/>
      <c r="J64" s="7"/>
      <c r="K64" s="10"/>
      <c r="L64" s="44"/>
      <c r="M64" s="12"/>
      <c r="N64" s="11"/>
      <c r="O64" s="11"/>
      <c r="P64" s="11"/>
      <c r="Q64" s="7"/>
      <c r="R64" s="12"/>
      <c r="S64" s="12"/>
    </row>
    <row r="65" spans="2:19">
      <c r="B65" s="39" t="s">
        <v>1302</v>
      </c>
      <c r="C65" s="40"/>
      <c r="D65" s="39"/>
      <c r="E65" s="39"/>
      <c r="F65" s="39"/>
      <c r="G65" s="39"/>
      <c r="H65" s="39"/>
      <c r="I65" s="39"/>
      <c r="J65" s="40"/>
      <c r="K65" s="39"/>
      <c r="L65" s="7"/>
      <c r="M65" s="41"/>
      <c r="N65" s="42">
        <f>SUM(N66:N68)</f>
        <v>6633701.5300000003</v>
      </c>
      <c r="O65" s="42"/>
      <c r="P65" s="42">
        <f t="shared" ref="P65:S65" si="4">SUM(P66:P68)</f>
        <v>6924.43</v>
      </c>
      <c r="Q65" s="42"/>
      <c r="R65" s="41">
        <f t="shared" si="4"/>
        <v>5.9400000000000001E-2</v>
      </c>
      <c r="S65" s="41">
        <f t="shared" si="4"/>
        <v>1.9041736954107679E-3</v>
      </c>
    </row>
    <row r="66" spans="2:19">
      <c r="B66" s="10" t="s">
        <v>1303</v>
      </c>
      <c r="C66" s="43">
        <v>6000053</v>
      </c>
      <c r="D66" s="10"/>
      <c r="E66" s="10">
        <v>600</v>
      </c>
      <c r="F66" s="10" t="s">
        <v>356</v>
      </c>
      <c r="G66" s="10" t="s">
        <v>99</v>
      </c>
      <c r="H66" s="10" t="s">
        <v>95</v>
      </c>
      <c r="I66" s="10" t="s">
        <v>1304</v>
      </c>
      <c r="J66" s="43">
        <v>0.28000000000000003</v>
      </c>
      <c r="K66" s="10" t="s">
        <v>96</v>
      </c>
      <c r="L66" s="44">
        <v>8.5000000000000006E-2</v>
      </c>
      <c r="M66" s="12">
        <v>5.3E-3</v>
      </c>
      <c r="N66" s="11">
        <v>86784</v>
      </c>
      <c r="O66" s="11">
        <v>108.34</v>
      </c>
      <c r="P66" s="11">
        <v>94.02</v>
      </c>
      <c r="Q66" s="12">
        <v>1E-4</v>
      </c>
      <c r="R66" s="12">
        <v>8.0000000000000004E-4</v>
      </c>
      <c r="S66" s="12">
        <f>P66/'סכום נכסי הקרן'!$C$42</f>
        <v>2.5854895037211785E-5</v>
      </c>
    </row>
    <row r="67" spans="2:19">
      <c r="B67" s="10" t="s">
        <v>1305</v>
      </c>
      <c r="C67" s="43">
        <v>1138825</v>
      </c>
      <c r="D67" s="10"/>
      <c r="E67" s="10">
        <v>1089</v>
      </c>
      <c r="F67" s="10" t="s">
        <v>259</v>
      </c>
      <c r="G67" s="10" t="s">
        <v>333</v>
      </c>
      <c r="H67" s="10" t="s">
        <v>240</v>
      </c>
      <c r="I67" s="10" t="s">
        <v>1306</v>
      </c>
      <c r="J67" s="43">
        <v>5.87</v>
      </c>
      <c r="K67" s="10" t="s">
        <v>96</v>
      </c>
      <c r="L67" s="44">
        <v>4.5999999999999999E-2</v>
      </c>
      <c r="M67" s="12">
        <v>4.19E-2</v>
      </c>
      <c r="N67" s="11">
        <v>6461000</v>
      </c>
      <c r="O67" s="11">
        <v>104.73</v>
      </c>
      <c r="P67" s="11">
        <v>6766.61</v>
      </c>
      <c r="Q67" s="12">
        <v>9.1999999999999998E-3</v>
      </c>
      <c r="R67" s="12">
        <v>5.8099999999999999E-2</v>
      </c>
      <c r="S67" s="12">
        <f>P67/'סכום נכסי הקרן'!$C$42</f>
        <v>1.8607742108886155E-3</v>
      </c>
    </row>
    <row r="68" spans="2:19">
      <c r="B68" s="10" t="s">
        <v>1307</v>
      </c>
      <c r="C68" s="43">
        <v>1134659</v>
      </c>
      <c r="D68" s="10"/>
      <c r="E68" s="10">
        <v>2009</v>
      </c>
      <c r="F68" s="10" t="s">
        <v>330</v>
      </c>
      <c r="G68" s="10"/>
      <c r="H68" s="10"/>
      <c r="I68" s="10"/>
      <c r="J68" s="7"/>
      <c r="K68" s="10" t="s">
        <v>96</v>
      </c>
      <c r="L68" s="7"/>
      <c r="M68" s="7"/>
      <c r="N68" s="11">
        <v>85917.53</v>
      </c>
      <c r="O68" s="11">
        <v>74.25</v>
      </c>
      <c r="P68" s="11">
        <v>63.8</v>
      </c>
      <c r="Q68" s="7"/>
      <c r="R68" s="12">
        <v>5.0000000000000001E-4</v>
      </c>
      <c r="S68" s="12">
        <f>P68/'סכום נכסי הקרן'!$C$42</f>
        <v>1.7544589484940567E-5</v>
      </c>
    </row>
    <row r="69" spans="2:19">
      <c r="B69" s="10"/>
      <c r="C69" s="43"/>
      <c r="D69" s="10"/>
      <c r="E69" s="10"/>
      <c r="F69" s="10"/>
      <c r="G69" s="10"/>
      <c r="H69" s="10"/>
      <c r="I69" s="10"/>
      <c r="J69" s="7"/>
      <c r="K69" s="10"/>
      <c r="L69" s="7"/>
      <c r="M69" s="7"/>
      <c r="N69" s="11"/>
      <c r="O69" s="11"/>
      <c r="P69" s="11"/>
      <c r="Q69" s="7"/>
      <c r="R69" s="12"/>
      <c r="S69" s="12"/>
    </row>
    <row r="70" spans="2:19">
      <c r="B70" s="39" t="s">
        <v>1308</v>
      </c>
      <c r="C70" s="40"/>
      <c r="D70" s="39"/>
      <c r="E70" s="39"/>
      <c r="F70" s="39"/>
      <c r="G70" s="39"/>
      <c r="H70" s="39"/>
      <c r="I70" s="39"/>
      <c r="J70" s="40"/>
      <c r="K70" s="39"/>
      <c r="L70" s="7"/>
      <c r="M70" s="41"/>
      <c r="N70" s="42">
        <f>SUM(N71:N76)</f>
        <v>4217395.83</v>
      </c>
      <c r="O70" s="42"/>
      <c r="P70" s="42">
        <f t="shared" ref="P70:R70" si="5">SUM(P71:P76)</f>
        <v>15481.03</v>
      </c>
      <c r="Q70" s="42"/>
      <c r="R70" s="41">
        <f t="shared" si="5"/>
        <v>0.13300000000000001</v>
      </c>
      <c r="S70" s="41">
        <v>4.1000000000000003E-3</v>
      </c>
    </row>
    <row r="71" spans="2:19">
      <c r="B71" s="10" t="s">
        <v>1309</v>
      </c>
      <c r="C71" s="43">
        <v>1132166</v>
      </c>
      <c r="D71" s="10"/>
      <c r="E71" s="10"/>
      <c r="F71" s="10" t="s">
        <v>401</v>
      </c>
      <c r="G71" s="10" t="s">
        <v>99</v>
      </c>
      <c r="H71" s="10" t="s">
        <v>95</v>
      </c>
      <c r="I71" s="10" t="s">
        <v>1310</v>
      </c>
      <c r="J71" s="43">
        <v>3.64</v>
      </c>
      <c r="K71" s="10" t="s">
        <v>43</v>
      </c>
      <c r="L71" s="44">
        <v>4.4350000000000001E-2</v>
      </c>
      <c r="M71" s="12">
        <v>3.61E-2</v>
      </c>
      <c r="N71" s="11">
        <v>225373</v>
      </c>
      <c r="O71" s="11">
        <v>105.36</v>
      </c>
      <c r="P71" s="11">
        <v>912.77</v>
      </c>
      <c r="Q71" s="12">
        <v>5.9999999999999995E-4</v>
      </c>
      <c r="R71" s="12">
        <v>7.7999999999999996E-3</v>
      </c>
      <c r="S71" s="12">
        <f>P71/'סכום נכסי הקרן'!$C$42</f>
        <v>2.5100587686785578E-4</v>
      </c>
    </row>
    <row r="72" spans="2:19">
      <c r="B72" s="10" t="s">
        <v>1311</v>
      </c>
      <c r="C72" s="43">
        <v>1132174</v>
      </c>
      <c r="D72" s="10"/>
      <c r="E72" s="10"/>
      <c r="F72" s="10" t="s">
        <v>401</v>
      </c>
      <c r="G72" s="10" t="s">
        <v>99</v>
      </c>
      <c r="H72" s="10" t="s">
        <v>95</v>
      </c>
      <c r="I72" s="10" t="s">
        <v>1310</v>
      </c>
      <c r="J72" s="43">
        <v>5.86</v>
      </c>
      <c r="K72" s="10" t="s">
        <v>43</v>
      </c>
      <c r="L72" s="44">
        <v>5.0819999999999997E-2</v>
      </c>
      <c r="M72" s="12">
        <v>4.48E-2</v>
      </c>
      <c r="N72" s="11">
        <v>200949</v>
      </c>
      <c r="O72" s="11">
        <v>106.42</v>
      </c>
      <c r="P72" s="11">
        <v>822.04</v>
      </c>
      <c r="Q72" s="12">
        <v>5.0000000000000001E-4</v>
      </c>
      <c r="R72" s="12">
        <v>7.1000000000000004E-3</v>
      </c>
      <c r="S72" s="12">
        <f>P72/'סכום נכסי הקרן'!$C$42</f>
        <v>2.2605571066145049E-4</v>
      </c>
    </row>
    <row r="73" spans="2:19">
      <c r="B73" s="10" t="s">
        <v>1312</v>
      </c>
      <c r="C73" s="43">
        <v>1139161</v>
      </c>
      <c r="D73" s="10"/>
      <c r="E73" s="10">
        <v>2250</v>
      </c>
      <c r="F73" s="10" t="s">
        <v>694</v>
      </c>
      <c r="G73" s="10" t="s">
        <v>181</v>
      </c>
      <c r="H73" s="10" t="s">
        <v>95</v>
      </c>
      <c r="I73" s="10" t="s">
        <v>1313</v>
      </c>
      <c r="J73" s="43">
        <v>3.46</v>
      </c>
      <c r="K73" s="10" t="s">
        <v>43</v>
      </c>
      <c r="L73" s="44">
        <v>3.6999999999999998E-2</v>
      </c>
      <c r="M73" s="12">
        <v>4.3200000000000002E-2</v>
      </c>
      <c r="N73" s="11">
        <v>1116000</v>
      </c>
      <c r="O73" s="11">
        <v>99.11</v>
      </c>
      <c r="P73" s="11">
        <v>4251.72</v>
      </c>
      <c r="Q73" s="12">
        <v>1.67E-2</v>
      </c>
      <c r="R73" s="12">
        <v>3.6499999999999998E-2</v>
      </c>
      <c r="S73" s="12">
        <f>P73/'סכום נכסי הקרן'!$C$42</f>
        <v>1.1691956427102117E-3</v>
      </c>
    </row>
    <row r="74" spans="2:19">
      <c r="B74" s="10" t="s">
        <v>1314</v>
      </c>
      <c r="C74" s="43">
        <v>1139179</v>
      </c>
      <c r="D74" s="10"/>
      <c r="E74" s="10">
        <v>2250</v>
      </c>
      <c r="F74" s="10" t="s">
        <v>694</v>
      </c>
      <c r="G74" s="10" t="s">
        <v>181</v>
      </c>
      <c r="H74" s="10" t="s">
        <v>95</v>
      </c>
      <c r="I74" s="10" t="s">
        <v>1313</v>
      </c>
      <c r="J74" s="43">
        <v>5.03</v>
      </c>
      <c r="K74" s="10" t="s">
        <v>43</v>
      </c>
      <c r="L74" s="44">
        <v>4.4499999999999998E-2</v>
      </c>
      <c r="M74" s="12">
        <v>4.9599999999999998E-2</v>
      </c>
      <c r="N74" s="11">
        <v>1116000</v>
      </c>
      <c r="O74" s="11">
        <v>99.08</v>
      </c>
      <c r="P74" s="11">
        <v>4250.4399999999996</v>
      </c>
      <c r="Q74" s="12">
        <v>8.0999999999999996E-3</v>
      </c>
      <c r="R74" s="12">
        <v>3.6499999999999998E-2</v>
      </c>
      <c r="S74" s="12">
        <f>P74/'סכום נכסי הקרן'!$C$42</f>
        <v>1.1688436509462504E-3</v>
      </c>
    </row>
    <row r="75" spans="2:19">
      <c r="B75" s="10" t="s">
        <v>1315</v>
      </c>
      <c r="C75" s="43">
        <v>6510044</v>
      </c>
      <c r="D75" s="10"/>
      <c r="E75" s="10">
        <v>651</v>
      </c>
      <c r="F75" s="10" t="s">
        <v>356</v>
      </c>
      <c r="G75" s="10"/>
      <c r="H75" s="10"/>
      <c r="I75" s="10" t="s">
        <v>1316</v>
      </c>
      <c r="J75" s="43">
        <v>5.83</v>
      </c>
      <c r="K75" s="10" t="s">
        <v>43</v>
      </c>
      <c r="L75" s="44">
        <v>0.03</v>
      </c>
      <c r="M75" s="12">
        <v>6.3399999999999998E-2</v>
      </c>
      <c r="N75" s="11">
        <v>1219964.24</v>
      </c>
      <c r="O75" s="11">
        <v>83.13</v>
      </c>
      <c r="P75" s="11">
        <v>3898.42</v>
      </c>
      <c r="Q75" s="7"/>
      <c r="R75" s="12">
        <v>3.3500000000000002E-2</v>
      </c>
      <c r="S75" s="12">
        <f>P75/'סכום נכסי הקרן'!$C$42</f>
        <v>1.0720404159856114E-3</v>
      </c>
    </row>
    <row r="76" spans="2:19">
      <c r="B76" s="10" t="s">
        <v>1317</v>
      </c>
      <c r="C76" s="43">
        <v>6510069</v>
      </c>
      <c r="D76" s="10"/>
      <c r="E76" s="10">
        <v>651</v>
      </c>
      <c r="F76" s="10" t="s">
        <v>356</v>
      </c>
      <c r="G76" s="10"/>
      <c r="H76" s="10"/>
      <c r="I76" s="10" t="s">
        <v>1316</v>
      </c>
      <c r="J76" s="43">
        <v>2.57</v>
      </c>
      <c r="K76" s="10" t="s">
        <v>43</v>
      </c>
      <c r="L76" s="44">
        <v>3.5209999999999998E-2</v>
      </c>
      <c r="M76" s="12">
        <v>2.86E-2</v>
      </c>
      <c r="N76" s="11">
        <v>339109.59</v>
      </c>
      <c r="O76" s="11">
        <v>103.23</v>
      </c>
      <c r="P76" s="11">
        <v>1345.64</v>
      </c>
      <c r="Q76" s="7"/>
      <c r="R76" s="12">
        <v>1.1599999999999999E-2</v>
      </c>
      <c r="S76" s="12">
        <f>P76/'סכום נכסי הקרן'!$C$42</f>
        <v>3.7004234160682486E-4</v>
      </c>
    </row>
    <row r="77" spans="2:19">
      <c r="B77" s="10"/>
      <c r="C77" s="43"/>
      <c r="D77" s="10"/>
      <c r="E77" s="10"/>
      <c r="F77" s="10"/>
      <c r="G77" s="10"/>
      <c r="H77" s="10"/>
      <c r="I77" s="10"/>
      <c r="J77" s="43"/>
      <c r="K77" s="10"/>
      <c r="L77" s="44"/>
      <c r="M77" s="12"/>
      <c r="N77" s="11"/>
      <c r="O77" s="11"/>
      <c r="P77" s="11"/>
      <c r="Q77" s="7"/>
      <c r="R77" s="12"/>
      <c r="S77" s="12"/>
    </row>
    <row r="78" spans="2:19">
      <c r="B78" s="39" t="s">
        <v>1318</v>
      </c>
      <c r="C78" s="40"/>
      <c r="D78" s="39"/>
      <c r="E78" s="39"/>
      <c r="F78" s="39"/>
      <c r="G78" s="39"/>
      <c r="H78" s="39"/>
      <c r="I78" s="39"/>
      <c r="J78" s="7"/>
      <c r="K78" s="39"/>
      <c r="L78" s="7"/>
      <c r="M78" s="7"/>
      <c r="N78" s="42">
        <v>0</v>
      </c>
      <c r="O78" s="7"/>
      <c r="P78" s="42">
        <v>0</v>
      </c>
      <c r="Q78" s="7"/>
      <c r="R78" s="41">
        <v>0</v>
      </c>
      <c r="S78" s="41">
        <v>0</v>
      </c>
    </row>
    <row r="79" spans="2:19">
      <c r="B79" s="8" t="s">
        <v>1319</v>
      </c>
      <c r="C79" s="38"/>
      <c r="D79" s="8"/>
      <c r="E79" s="8"/>
      <c r="F79" s="8"/>
      <c r="G79" s="8"/>
      <c r="H79" s="8"/>
      <c r="I79" s="8"/>
      <c r="J79" s="7"/>
      <c r="K79" s="8"/>
      <c r="L79" s="7"/>
      <c r="M79" s="7"/>
      <c r="N79" s="13">
        <v>0</v>
      </c>
      <c r="O79" s="7"/>
      <c r="P79" s="13">
        <v>0</v>
      </c>
      <c r="Q79" s="7"/>
      <c r="R79" s="14">
        <v>0</v>
      </c>
      <c r="S79" s="14">
        <v>0</v>
      </c>
    </row>
    <row r="80" spans="2:19">
      <c r="B80" s="39" t="s">
        <v>1320</v>
      </c>
      <c r="C80" s="40"/>
      <c r="D80" s="39"/>
      <c r="E80" s="39"/>
      <c r="F80" s="39"/>
      <c r="G80" s="39"/>
      <c r="H80" s="39"/>
      <c r="I80" s="39"/>
      <c r="J80" s="7"/>
      <c r="K80" s="39"/>
      <c r="L80" s="7"/>
      <c r="M80" s="7"/>
      <c r="N80" s="42">
        <v>0</v>
      </c>
      <c r="O80" s="7"/>
      <c r="P80" s="42">
        <v>0</v>
      </c>
      <c r="Q80" s="7"/>
      <c r="R80" s="41">
        <v>0</v>
      </c>
      <c r="S80" s="41">
        <v>0</v>
      </c>
    </row>
    <row r="81" spans="2:19">
      <c r="B81" s="39" t="s">
        <v>1321</v>
      </c>
      <c r="C81" s="40"/>
      <c r="D81" s="39"/>
      <c r="E81" s="39"/>
      <c r="F81" s="39"/>
      <c r="G81" s="39"/>
      <c r="H81" s="39"/>
      <c r="I81" s="39"/>
      <c r="J81" s="7"/>
      <c r="K81" s="39"/>
      <c r="L81" s="7"/>
      <c r="M81" s="7"/>
      <c r="N81" s="42">
        <v>0</v>
      </c>
      <c r="O81" s="7"/>
      <c r="P81" s="42">
        <v>0</v>
      </c>
      <c r="Q81" s="7"/>
      <c r="R81" s="41">
        <v>0</v>
      </c>
      <c r="S81" s="41">
        <v>0</v>
      </c>
    </row>
    <row r="84" spans="2:19">
      <c r="B84" s="3" t="s">
        <v>121</v>
      </c>
      <c r="C84" s="5"/>
      <c r="D84" s="3"/>
      <c r="E84" s="3"/>
      <c r="F84" s="3"/>
      <c r="G84" s="3"/>
      <c r="H84" s="3"/>
      <c r="I84" s="3"/>
      <c r="K84" s="3"/>
    </row>
    <row r="88" spans="2:19">
      <c r="B88" s="2" t="s">
        <v>76</v>
      </c>
    </row>
  </sheetData>
  <mergeCells count="6">
    <mergeCell ref="B6:L6"/>
    <mergeCell ref="N6:O6"/>
    <mergeCell ref="P6:S6"/>
    <mergeCell ref="B9:L9"/>
    <mergeCell ref="N9:O9"/>
    <mergeCell ref="P9:S9"/>
  </mergeCell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rightToLeft="1" zoomScale="80" zoomScaleNormal="80" workbookViewId="0">
      <selection activeCell="H24" sqref="H24"/>
    </sheetView>
  </sheetViews>
  <sheetFormatPr defaultColWidth="9.140625" defaultRowHeight="12.75"/>
  <cols>
    <col min="1" max="1" width="3.28515625" customWidth="1"/>
    <col min="2" max="2" width="36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7.7109375" customWidth="1"/>
    <col min="13" max="13" width="20.7109375" customWidth="1"/>
  </cols>
  <sheetData>
    <row r="1" spans="2:13">
      <c r="B1" s="15" t="s">
        <v>1490</v>
      </c>
    </row>
    <row r="2" spans="2:13">
      <c r="B2" s="15" t="s">
        <v>1489</v>
      </c>
    </row>
    <row r="3" spans="2:13">
      <c r="B3" s="15" t="s">
        <v>2</v>
      </c>
    </row>
    <row r="4" spans="2:13">
      <c r="B4" s="15" t="s">
        <v>3</v>
      </c>
    </row>
    <row r="6" spans="2:13">
      <c r="B6" s="113" t="s">
        <v>1200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54"/>
    </row>
    <row r="7" spans="2:13">
      <c r="B7" s="49" t="s">
        <v>665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2:13">
      <c r="B8" s="49" t="s">
        <v>78</v>
      </c>
      <c r="C8" s="49" t="s">
        <v>79</v>
      </c>
      <c r="D8" s="49" t="s">
        <v>204</v>
      </c>
      <c r="E8" s="49" t="s">
        <v>80</v>
      </c>
      <c r="F8" s="49" t="s">
        <v>205</v>
      </c>
      <c r="G8" s="49" t="s">
        <v>83</v>
      </c>
      <c r="H8" s="49" t="s">
        <v>127</v>
      </c>
      <c r="I8" s="49" t="s">
        <v>42</v>
      </c>
      <c r="J8" s="49" t="s">
        <v>1201</v>
      </c>
      <c r="K8" s="49" t="s">
        <v>128</v>
      </c>
      <c r="L8" s="49" t="s">
        <v>129</v>
      </c>
      <c r="M8" s="49" t="s">
        <v>88</v>
      </c>
    </row>
    <row r="9" spans="2:13">
      <c r="B9" s="113"/>
      <c r="C9" s="113"/>
      <c r="D9" s="113"/>
      <c r="E9" s="113"/>
      <c r="F9" s="113"/>
      <c r="G9" s="113"/>
      <c r="H9" s="113" t="s">
        <v>132</v>
      </c>
      <c r="I9" s="113" t="s">
        <v>133</v>
      </c>
      <c r="J9" s="113" t="s">
        <v>90</v>
      </c>
      <c r="K9" s="113" t="s">
        <v>89</v>
      </c>
      <c r="L9" s="113" t="s">
        <v>89</v>
      </c>
      <c r="M9" s="54" t="s">
        <v>89</v>
      </c>
    </row>
    <row r="10" spans="2:13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2:13">
      <c r="B11" s="8" t="s">
        <v>1322</v>
      </c>
      <c r="C11" s="38"/>
      <c r="D11" s="8"/>
      <c r="E11" s="8"/>
      <c r="F11" s="8"/>
      <c r="G11" s="8"/>
      <c r="H11" s="13">
        <f>H13</f>
        <v>1216365</v>
      </c>
      <c r="I11" s="7"/>
      <c r="J11" s="13">
        <f>J13</f>
        <v>1765.68</v>
      </c>
      <c r="K11" s="7"/>
      <c r="L11" s="14">
        <f>L13</f>
        <v>1</v>
      </c>
      <c r="M11" s="14">
        <f>M13</f>
        <v>4.8555063889921409E-4</v>
      </c>
    </row>
    <row r="12" spans="2:13">
      <c r="B12" s="8"/>
      <c r="C12" s="38"/>
      <c r="D12" s="8"/>
      <c r="E12" s="8"/>
      <c r="F12" s="8"/>
      <c r="G12" s="8"/>
      <c r="H12" s="13"/>
      <c r="I12" s="7"/>
      <c r="J12" s="13"/>
      <c r="K12" s="7"/>
      <c r="L12" s="14"/>
      <c r="M12" s="14"/>
    </row>
    <row r="13" spans="2:13" ht="12" customHeight="1">
      <c r="B13" s="8" t="s">
        <v>1323</v>
      </c>
      <c r="C13" s="38"/>
      <c r="D13" s="8"/>
      <c r="E13" s="8"/>
      <c r="F13" s="8"/>
      <c r="G13" s="8"/>
      <c r="H13" s="13">
        <f>H15</f>
        <v>1216365</v>
      </c>
      <c r="I13" s="7"/>
      <c r="J13" s="13">
        <f>J15</f>
        <v>1765.68</v>
      </c>
      <c r="K13" s="7"/>
      <c r="L13" s="14">
        <f>L15</f>
        <v>1</v>
      </c>
      <c r="M13" s="14">
        <f>M15</f>
        <v>4.8555063889921409E-4</v>
      </c>
    </row>
    <row r="14" spans="2:13" ht="12" customHeight="1">
      <c r="B14" s="8"/>
      <c r="C14" s="38"/>
      <c r="D14" s="8"/>
      <c r="E14" s="8"/>
      <c r="F14" s="8"/>
      <c r="G14" s="8"/>
      <c r="H14" s="13"/>
      <c r="I14" s="7"/>
      <c r="J14" s="13"/>
      <c r="K14" s="7"/>
      <c r="L14" s="14"/>
      <c r="M14" s="14"/>
    </row>
    <row r="15" spans="2:13">
      <c r="B15" s="39" t="s">
        <v>667</v>
      </c>
      <c r="C15" s="40"/>
      <c r="D15" s="39"/>
      <c r="E15" s="39"/>
      <c r="F15" s="39"/>
      <c r="G15" s="39"/>
      <c r="H15" s="42">
        <f>SUM(H16:H18)</f>
        <v>1216365</v>
      </c>
      <c r="I15" s="42"/>
      <c r="J15" s="42">
        <f>SUM(J16:J18)</f>
        <v>1765.68</v>
      </c>
      <c r="K15" s="42"/>
      <c r="L15" s="14">
        <f>SUM(L16:L18)</f>
        <v>1</v>
      </c>
      <c r="M15" s="14">
        <f>SUM(M16:M18)</f>
        <v>4.8555063889921409E-4</v>
      </c>
    </row>
    <row r="16" spans="2:13">
      <c r="B16" s="10" t="s">
        <v>1324</v>
      </c>
      <c r="C16" s="43">
        <v>239012</v>
      </c>
      <c r="D16" s="10"/>
      <c r="E16" s="10">
        <v>239</v>
      </c>
      <c r="F16" s="10" t="s">
        <v>403</v>
      </c>
      <c r="G16" s="10" t="s">
        <v>96</v>
      </c>
      <c r="H16" s="11">
        <v>77699</v>
      </c>
      <c r="I16" s="11">
        <v>0.01</v>
      </c>
      <c r="J16" s="11">
        <v>0.01</v>
      </c>
      <c r="K16" s="12">
        <v>2.7000000000000001E-3</v>
      </c>
      <c r="L16" s="12">
        <v>0</v>
      </c>
      <c r="M16" s="12">
        <f>J16/'סכום נכסי הקרן'!$C$42</f>
        <v>2.749935655946797E-9</v>
      </c>
    </row>
    <row r="17" spans="2:13">
      <c r="B17" s="10" t="s">
        <v>1325</v>
      </c>
      <c r="C17" s="43">
        <v>4093043</v>
      </c>
      <c r="D17" s="10"/>
      <c r="E17" s="10">
        <v>1246</v>
      </c>
      <c r="F17" s="10" t="s">
        <v>239</v>
      </c>
      <c r="G17" s="10" t="s">
        <v>96</v>
      </c>
      <c r="H17" s="11">
        <v>1120000</v>
      </c>
      <c r="I17" s="11">
        <v>75</v>
      </c>
      <c r="J17" s="11">
        <f>840+0.07</f>
        <v>840.07</v>
      </c>
      <c r="K17" s="12">
        <v>5.5800000000000002E-2</v>
      </c>
      <c r="L17" s="12">
        <v>0.4758</v>
      </c>
      <c r="M17" s="12">
        <f>J17/'סכום נכסי הקרן'!$C$42</f>
        <v>2.3101384464912261E-4</v>
      </c>
    </row>
    <row r="18" spans="2:13">
      <c r="B18" s="10" t="s">
        <v>1326</v>
      </c>
      <c r="C18" s="43">
        <v>19920000</v>
      </c>
      <c r="D18" s="10"/>
      <c r="E18" s="10">
        <v>651</v>
      </c>
      <c r="F18" s="10" t="s">
        <v>356</v>
      </c>
      <c r="G18" s="10" t="s">
        <v>43</v>
      </c>
      <c r="H18" s="11">
        <v>18666</v>
      </c>
      <c r="I18" s="11">
        <v>1290</v>
      </c>
      <c r="J18" s="11">
        <v>925.6</v>
      </c>
      <c r="K18" s="7"/>
      <c r="L18" s="12">
        <v>0.5242</v>
      </c>
      <c r="M18" s="12">
        <f>J18/'סכום נכסי הקרן'!$C$42</f>
        <v>2.5453404431443553E-4</v>
      </c>
    </row>
    <row r="19" spans="2:13">
      <c r="B19" s="10"/>
      <c r="C19" s="43"/>
      <c r="D19" s="10"/>
      <c r="E19" s="10"/>
      <c r="F19" s="10"/>
      <c r="G19" s="10"/>
      <c r="H19" s="11"/>
      <c r="I19" s="11"/>
      <c r="J19" s="11"/>
      <c r="K19" s="7"/>
      <c r="L19" s="12"/>
      <c r="M19" s="12"/>
    </row>
    <row r="20" spans="2:13">
      <c r="B20" s="8" t="s">
        <v>1327</v>
      </c>
      <c r="C20" s="38"/>
      <c r="D20" s="8"/>
      <c r="E20" s="8"/>
      <c r="F20" s="8"/>
      <c r="G20" s="8"/>
      <c r="H20" s="13">
        <v>0</v>
      </c>
      <c r="I20" s="7"/>
      <c r="J20" s="13">
        <v>0</v>
      </c>
      <c r="K20" s="7"/>
      <c r="L20" s="14">
        <v>0</v>
      </c>
      <c r="M20" s="14">
        <v>0</v>
      </c>
    </row>
    <row r="21" spans="2:13">
      <c r="B21" s="39" t="s">
        <v>801</v>
      </c>
      <c r="C21" s="40"/>
      <c r="D21" s="39"/>
      <c r="E21" s="39"/>
      <c r="F21" s="39"/>
      <c r="G21" s="39"/>
      <c r="H21" s="42">
        <v>0</v>
      </c>
      <c r="I21" s="7"/>
      <c r="J21" s="42">
        <v>0</v>
      </c>
      <c r="K21" s="7"/>
      <c r="L21" s="41">
        <v>0</v>
      </c>
      <c r="M21" s="41">
        <v>0</v>
      </c>
    </row>
    <row r="22" spans="2:13">
      <c r="B22" s="39" t="s">
        <v>825</v>
      </c>
      <c r="C22" s="40"/>
      <c r="D22" s="39"/>
      <c r="E22" s="39"/>
      <c r="F22" s="39"/>
      <c r="G22" s="39"/>
      <c r="H22" s="42">
        <v>0</v>
      </c>
      <c r="I22" s="7"/>
      <c r="J22" s="42">
        <v>0</v>
      </c>
      <c r="K22" s="7"/>
      <c r="L22" s="41">
        <v>0</v>
      </c>
      <c r="M22" s="41">
        <v>0</v>
      </c>
    </row>
    <row r="25" spans="2:13">
      <c r="B25" s="3" t="s">
        <v>121</v>
      </c>
      <c r="C25" s="5"/>
      <c r="D25" s="3"/>
      <c r="E25" s="3"/>
      <c r="F25" s="3"/>
      <c r="G25" s="3"/>
    </row>
    <row r="29" spans="2:13">
      <c r="B29" s="2" t="s">
        <v>76</v>
      </c>
    </row>
  </sheetData>
  <mergeCells count="2">
    <mergeCell ref="B6:L6"/>
    <mergeCell ref="B9:L9"/>
  </mergeCell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"/>
  <sheetViews>
    <sheetView rightToLeft="1" topLeftCell="A10" zoomScale="80" zoomScaleNormal="80" workbookViewId="0">
      <selection activeCell="H31" sqref="H31"/>
    </sheetView>
  </sheetViews>
  <sheetFormatPr defaultColWidth="9.140625" defaultRowHeight="12.75"/>
  <cols>
    <col min="1" max="1" width="2.42578125" customWidth="1"/>
    <col min="2" max="2" width="43.7109375" customWidth="1"/>
    <col min="3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7.7109375" customWidth="1"/>
    <col min="11" max="11" width="20.7109375" customWidth="1"/>
  </cols>
  <sheetData>
    <row r="1" spans="2:11">
      <c r="B1" s="15" t="s">
        <v>1490</v>
      </c>
    </row>
    <row r="2" spans="2:11">
      <c r="B2" s="15" t="s">
        <v>1489</v>
      </c>
    </row>
    <row r="3" spans="2:11">
      <c r="B3" s="15" t="s">
        <v>2</v>
      </c>
    </row>
    <row r="4" spans="2:11">
      <c r="B4" s="15" t="s">
        <v>3</v>
      </c>
    </row>
    <row r="6" spans="2:11">
      <c r="B6" s="113" t="s">
        <v>1200</v>
      </c>
      <c r="C6" s="113"/>
      <c r="D6" s="113"/>
      <c r="E6" s="113"/>
      <c r="F6" s="113"/>
      <c r="G6" s="113"/>
      <c r="H6" s="113"/>
      <c r="I6" s="113"/>
      <c r="J6" s="113"/>
      <c r="K6" s="113"/>
    </row>
    <row r="7" spans="2:11">
      <c r="B7" s="49" t="s">
        <v>1328</v>
      </c>
      <c r="C7" s="49"/>
      <c r="D7" s="49"/>
      <c r="E7" s="49"/>
      <c r="F7" s="49"/>
      <c r="G7" s="49"/>
      <c r="H7" s="49"/>
      <c r="I7" s="49"/>
      <c r="J7" s="49"/>
      <c r="K7" s="49"/>
    </row>
    <row r="8" spans="2:11">
      <c r="B8" s="49" t="s">
        <v>78</v>
      </c>
      <c r="C8" s="49" t="s">
        <v>79</v>
      </c>
      <c r="D8" s="49" t="s">
        <v>83</v>
      </c>
      <c r="E8" s="49" t="s">
        <v>125</v>
      </c>
      <c r="F8" s="49" t="s">
        <v>127</v>
      </c>
      <c r="G8" s="49" t="s">
        <v>42</v>
      </c>
      <c r="H8" s="49" t="s">
        <v>1201</v>
      </c>
      <c r="I8" s="49" t="s">
        <v>128</v>
      </c>
      <c r="J8" s="49" t="s">
        <v>129</v>
      </c>
      <c r="K8" s="49" t="s">
        <v>88</v>
      </c>
    </row>
    <row r="9" spans="2:11">
      <c r="B9" s="113"/>
      <c r="C9" s="113"/>
      <c r="D9" s="113"/>
      <c r="E9" s="113" t="s">
        <v>130</v>
      </c>
      <c r="F9" s="113" t="s">
        <v>132</v>
      </c>
      <c r="G9" s="113" t="s">
        <v>133</v>
      </c>
      <c r="H9" s="113" t="s">
        <v>90</v>
      </c>
      <c r="I9" s="113" t="s">
        <v>89</v>
      </c>
      <c r="J9" s="113" t="s">
        <v>89</v>
      </c>
      <c r="K9" s="113" t="s">
        <v>89</v>
      </c>
    </row>
    <row r="10" spans="2:11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1">
      <c r="B11" s="8" t="s">
        <v>1329</v>
      </c>
      <c r="C11" s="38"/>
      <c r="D11" s="8"/>
      <c r="E11" s="8"/>
      <c r="F11" s="13">
        <f>F13+F44</f>
        <v>45217779.299999997</v>
      </c>
      <c r="G11" s="13">
        <f t="shared" ref="G11:K11" si="0">G13+G44</f>
        <v>0</v>
      </c>
      <c r="H11" s="13">
        <f t="shared" si="0"/>
        <v>89885.736000000004</v>
      </c>
      <c r="I11" s="13"/>
      <c r="J11" s="14">
        <f t="shared" si="0"/>
        <v>1</v>
      </c>
      <c r="K11" s="14">
        <f t="shared" si="0"/>
        <v>2.4717999038742063E-2</v>
      </c>
    </row>
    <row r="12" spans="2:11">
      <c r="B12" s="8"/>
      <c r="C12" s="38"/>
      <c r="D12" s="8"/>
      <c r="E12" s="8"/>
      <c r="F12" s="13"/>
      <c r="G12" s="7"/>
      <c r="H12" s="13"/>
      <c r="I12" s="7"/>
      <c r="J12" s="14"/>
      <c r="K12" s="14"/>
    </row>
    <row r="13" spans="2:11">
      <c r="B13" s="8" t="s">
        <v>1330</v>
      </c>
      <c r="C13" s="38"/>
      <c r="D13" s="8"/>
      <c r="E13" s="8"/>
      <c r="F13" s="13">
        <f>F15+F23+F25+F29</f>
        <v>37535358.719999999</v>
      </c>
      <c r="G13" s="13"/>
      <c r="H13" s="13">
        <f t="shared" ref="H13:J13" si="1">H15+H23+H25+H29</f>
        <v>49909.439999999995</v>
      </c>
      <c r="I13" s="13"/>
      <c r="J13" s="14">
        <f t="shared" si="1"/>
        <v>0.55510000000000004</v>
      </c>
      <c r="K13" s="14">
        <f>K15+K23+K25+K29</f>
        <v>1.3724774862433731E-2</v>
      </c>
    </row>
    <row r="14" spans="2:11">
      <c r="B14" s="8"/>
      <c r="C14" s="38"/>
      <c r="D14" s="8"/>
      <c r="E14" s="8"/>
      <c r="F14" s="13"/>
      <c r="G14" s="7"/>
      <c r="H14" s="13"/>
      <c r="I14" s="7"/>
      <c r="J14" s="14"/>
      <c r="K14" s="14"/>
    </row>
    <row r="15" spans="2:11">
      <c r="B15" s="39" t="s">
        <v>1331</v>
      </c>
      <c r="C15" s="40"/>
      <c r="D15" s="39"/>
      <c r="E15" s="39"/>
      <c r="F15" s="42">
        <f>SUM(F16:F21)</f>
        <v>3178441.4</v>
      </c>
      <c r="G15" s="42"/>
      <c r="H15" s="42">
        <f t="shared" ref="H15" si="2">SUM(H16:H21)</f>
        <v>5412.73</v>
      </c>
      <c r="I15" s="42"/>
      <c r="J15" s="41">
        <f t="shared" ref="J15" si="3">SUM(J16:J21)</f>
        <v>6.1200000000000004E-2</v>
      </c>
      <c r="K15" s="41">
        <f t="shared" ref="K15" si="4">SUM(K16:K21)</f>
        <v>1.4884659223012907E-3</v>
      </c>
    </row>
    <row r="16" spans="2:11">
      <c r="B16" s="10" t="s">
        <v>1332</v>
      </c>
      <c r="C16" s="43">
        <v>55045</v>
      </c>
      <c r="D16" s="10" t="s">
        <v>43</v>
      </c>
      <c r="E16" s="10"/>
      <c r="F16" s="11">
        <v>822665</v>
      </c>
      <c r="G16" s="11">
        <v>6.46</v>
      </c>
      <c r="H16" s="11">
        <v>204.41</v>
      </c>
      <c r="I16" s="7"/>
      <c r="J16" s="12">
        <f>0.23%-0.0001</f>
        <v>2.2000000000000001E-3</v>
      </c>
      <c r="K16" s="12">
        <f>H16/'סכום נכסי הקרן'!$C$42</f>
        <v>5.6211434743208482E-5</v>
      </c>
    </row>
    <row r="17" spans="2:11">
      <c r="B17" s="10" t="s">
        <v>1333</v>
      </c>
      <c r="C17" s="43">
        <v>100250091</v>
      </c>
      <c r="D17" s="10" t="s">
        <v>43</v>
      </c>
      <c r="E17" s="10" t="s">
        <v>1334</v>
      </c>
      <c r="F17" s="11">
        <v>185640</v>
      </c>
      <c r="G17" s="11">
        <v>82.85</v>
      </c>
      <c r="H17" s="11">
        <v>591.22</v>
      </c>
      <c r="I17" s="12">
        <v>3.5000000000000001E-3</v>
      </c>
      <c r="J17" s="12">
        <v>6.6E-3</v>
      </c>
      <c r="K17" s="12">
        <f>H17/'סכום נכסי הקרן'!$C$42</f>
        <v>1.6258169585088656E-4</v>
      </c>
    </row>
    <row r="18" spans="2:11">
      <c r="B18" s="10" t="s">
        <v>1335</v>
      </c>
      <c r="C18" s="43">
        <v>100250059</v>
      </c>
      <c r="D18" s="10" t="s">
        <v>43</v>
      </c>
      <c r="E18" s="10" t="s">
        <v>1336</v>
      </c>
      <c r="F18" s="11">
        <v>323908.90000000002</v>
      </c>
      <c r="G18" s="11">
        <v>105.43</v>
      </c>
      <c r="H18" s="11">
        <f>1312.77-100</f>
        <v>1212.77</v>
      </c>
      <c r="I18" s="12">
        <v>5.0000000000000001E-3</v>
      </c>
      <c r="J18" s="12">
        <v>1.46E-2</v>
      </c>
      <c r="K18" s="12">
        <f>H18/'סכום נכסי הקרן'!$C$42</f>
        <v>3.3350394654625969E-4</v>
      </c>
    </row>
    <row r="19" spans="2:11">
      <c r="B19" s="10" t="s">
        <v>1337</v>
      </c>
      <c r="C19" s="43">
        <v>400036</v>
      </c>
      <c r="D19" s="10" t="s">
        <v>43</v>
      </c>
      <c r="E19" s="10"/>
      <c r="F19" s="11">
        <v>645650</v>
      </c>
      <c r="G19" s="11">
        <v>91.42</v>
      </c>
      <c r="H19" s="11">
        <v>2268.84</v>
      </c>
      <c r="I19" s="7"/>
      <c r="J19" s="12">
        <v>2.52E-2</v>
      </c>
      <c r="K19" s="12">
        <f>H19/'סכום נכסי הקרן'!$C$42</f>
        <v>6.239164013638332E-4</v>
      </c>
    </row>
    <row r="20" spans="2:11">
      <c r="B20" s="10" t="s">
        <v>1338</v>
      </c>
      <c r="C20" s="43">
        <v>80035</v>
      </c>
      <c r="D20" s="10" t="s">
        <v>43</v>
      </c>
      <c r="E20" s="10"/>
      <c r="F20" s="11">
        <v>876577.5</v>
      </c>
      <c r="G20" s="11">
        <v>0</v>
      </c>
      <c r="H20" s="11">
        <v>0</v>
      </c>
      <c r="I20" s="7"/>
      <c r="J20" s="12">
        <v>0</v>
      </c>
      <c r="K20" s="12">
        <f>H20/'סכום נכסי הקרן'!$C$42</f>
        <v>0</v>
      </c>
    </row>
    <row r="21" spans="2:11">
      <c r="B21" s="10" t="s">
        <v>1339</v>
      </c>
      <c r="C21" s="43">
        <v>100250026</v>
      </c>
      <c r="D21" s="10" t="s">
        <v>43</v>
      </c>
      <c r="E21" s="10"/>
      <c r="F21" s="11">
        <v>324000</v>
      </c>
      <c r="G21" s="11">
        <v>91.17</v>
      </c>
      <c r="H21" s="11">
        <v>1135.49</v>
      </c>
      <c r="I21" s="12">
        <v>4.1999999999999997E-3</v>
      </c>
      <c r="J21" s="12">
        <v>1.26E-2</v>
      </c>
      <c r="K21" s="12">
        <f>H21/'סכום נכסי הקרן'!$C$42</f>
        <v>3.1225244379710286E-4</v>
      </c>
    </row>
    <row r="22" spans="2:11">
      <c r="B22" s="10"/>
      <c r="C22" s="43"/>
      <c r="D22" s="10"/>
      <c r="E22" s="10"/>
      <c r="F22" s="11"/>
      <c r="G22" s="11"/>
      <c r="H22" s="11"/>
      <c r="I22" s="12"/>
      <c r="J22" s="12"/>
      <c r="K22" s="12"/>
    </row>
    <row r="23" spans="2:11">
      <c r="B23" s="39" t="s">
        <v>1340</v>
      </c>
      <c r="C23" s="40"/>
      <c r="D23" s="39"/>
      <c r="E23" s="39"/>
      <c r="F23" s="42">
        <v>0</v>
      </c>
      <c r="G23" s="7"/>
      <c r="H23" s="42">
        <v>0</v>
      </c>
      <c r="I23" s="7"/>
      <c r="J23" s="41">
        <v>0</v>
      </c>
      <c r="K23" s="41">
        <v>0</v>
      </c>
    </row>
    <row r="24" spans="2:11">
      <c r="B24" s="39"/>
      <c r="C24" s="40"/>
      <c r="D24" s="39"/>
      <c r="E24" s="39"/>
      <c r="F24" s="42"/>
      <c r="G24" s="7"/>
      <c r="H24" s="42"/>
      <c r="I24" s="7"/>
      <c r="J24" s="41"/>
      <c r="K24" s="41"/>
    </row>
    <row r="25" spans="2:11">
      <c r="B25" s="39" t="s">
        <v>1341</v>
      </c>
      <c r="C25" s="40"/>
      <c r="D25" s="39"/>
      <c r="E25" s="39"/>
      <c r="F25" s="42">
        <f>SUM(F26:F27)</f>
        <v>11986736.01</v>
      </c>
      <c r="G25" s="42"/>
      <c r="H25" s="42">
        <f t="shared" ref="H25:J25" si="5">SUM(H26:H27)</f>
        <v>15063.76</v>
      </c>
      <c r="I25" s="42"/>
      <c r="J25" s="41">
        <f t="shared" si="5"/>
        <v>0.16719999999999999</v>
      </c>
      <c r="K25" s="41">
        <f>SUM(K26:K27)</f>
        <v>4.1424370736625124E-3</v>
      </c>
    </row>
    <row r="26" spans="2:11">
      <c r="B26" s="10" t="s">
        <v>1342</v>
      </c>
      <c r="C26" s="43">
        <v>602880775</v>
      </c>
      <c r="D26" s="10" t="s">
        <v>96</v>
      </c>
      <c r="E26" s="10"/>
      <c r="F26" s="11">
        <v>11252335.92</v>
      </c>
      <c r="G26" s="11">
        <v>111.24</v>
      </c>
      <c r="H26" s="11">
        <v>12516.69</v>
      </c>
      <c r="I26" s="7"/>
      <c r="J26" s="12">
        <v>0.1389</v>
      </c>
      <c r="K26" s="12">
        <f>H26/'סכום נכסי הקרן'!$C$42</f>
        <v>3.4420092125432718E-3</v>
      </c>
    </row>
    <row r="27" spans="2:11">
      <c r="B27" s="10" t="s">
        <v>1343</v>
      </c>
      <c r="C27" s="43">
        <v>60299077</v>
      </c>
      <c r="D27" s="10" t="s">
        <v>43</v>
      </c>
      <c r="E27" s="10"/>
      <c r="F27" s="11">
        <v>734400.09</v>
      </c>
      <c r="G27" s="11">
        <v>90.22</v>
      </c>
      <c r="H27" s="11">
        <v>2547.0700000000002</v>
      </c>
      <c r="I27" s="7"/>
      <c r="J27" s="12">
        <v>2.8299999999999999E-2</v>
      </c>
      <c r="K27" s="12">
        <f>H27/'סכום נכסי הקרן'!$C$42</f>
        <v>7.004278611192409E-4</v>
      </c>
    </row>
    <row r="28" spans="2:11">
      <c r="B28" s="10"/>
      <c r="C28" s="43"/>
      <c r="D28" s="10"/>
      <c r="E28" s="10"/>
      <c r="F28" s="11"/>
      <c r="G28" s="11"/>
      <c r="H28" s="11"/>
      <c r="I28" s="7"/>
      <c r="J28" s="12"/>
      <c r="K28" s="12"/>
    </row>
    <row r="29" spans="2:11">
      <c r="B29" s="39" t="s">
        <v>1344</v>
      </c>
      <c r="C29" s="40"/>
      <c r="D29" s="39"/>
      <c r="E29" s="39"/>
      <c r="F29" s="42">
        <f>SUM(F30:F42)</f>
        <v>22370181.309999999</v>
      </c>
      <c r="G29" s="42">
        <f t="shared" ref="G29:K29" si="6">SUM(G30:G42)</f>
        <v>1095.4000000000001</v>
      </c>
      <c r="H29" s="42">
        <f t="shared" si="6"/>
        <v>29432.949999999997</v>
      </c>
      <c r="I29" s="42"/>
      <c r="J29" s="41">
        <f t="shared" si="6"/>
        <v>0.32670000000000005</v>
      </c>
      <c r="K29" s="41">
        <f t="shared" si="6"/>
        <v>8.0938718664699278E-3</v>
      </c>
    </row>
    <row r="30" spans="2:11">
      <c r="B30" s="10" t="s">
        <v>1345</v>
      </c>
      <c r="C30" s="43">
        <v>100250083</v>
      </c>
      <c r="D30" s="10" t="s">
        <v>43</v>
      </c>
      <c r="E30" s="10" t="s">
        <v>1346</v>
      </c>
      <c r="F30" s="11">
        <v>258945.01</v>
      </c>
      <c r="G30" s="11">
        <v>102.79</v>
      </c>
      <c r="H30" s="11">
        <f>1023.14+0.04</f>
        <v>1023.18</v>
      </c>
      <c r="I30" s="12">
        <v>1.5E-3</v>
      </c>
      <c r="J30" s="12">
        <v>1.14E-2</v>
      </c>
      <c r="K30" s="12">
        <f>H30/'סכום נכסי הקרן'!$C$42</f>
        <v>2.8136791644516436E-4</v>
      </c>
    </row>
    <row r="31" spans="2:11">
      <c r="B31" s="10" t="s">
        <v>1347</v>
      </c>
      <c r="C31" s="43">
        <v>200326981</v>
      </c>
      <c r="D31" s="10" t="s">
        <v>96</v>
      </c>
      <c r="E31" s="10"/>
      <c r="F31" s="11">
        <v>6790000</v>
      </c>
      <c r="G31" s="11">
        <v>93.84</v>
      </c>
      <c r="H31" s="11">
        <v>6371.61</v>
      </c>
      <c r="I31" s="7"/>
      <c r="J31" s="12">
        <v>7.0699999999999999E-2</v>
      </c>
      <c r="K31" s="12">
        <f>H31/'סכום נכסי הקרן'!$C$42</f>
        <v>1.7521517524787171E-3</v>
      </c>
    </row>
    <row r="32" spans="2:11">
      <c r="B32" s="10" t="s">
        <v>1348</v>
      </c>
      <c r="C32" s="43">
        <v>3000023</v>
      </c>
      <c r="D32" s="10" t="s">
        <v>96</v>
      </c>
      <c r="E32" s="10"/>
      <c r="F32" s="11">
        <v>3590000</v>
      </c>
      <c r="G32" s="11">
        <v>127.98</v>
      </c>
      <c r="H32" s="11">
        <v>4594.3900000000003</v>
      </c>
      <c r="I32" s="7"/>
      <c r="J32" s="12">
        <v>5.0999999999999997E-2</v>
      </c>
      <c r="K32" s="12">
        <f>H32/'סכום נכסי הקרן'!$C$42</f>
        <v>1.2634276878325406E-3</v>
      </c>
    </row>
    <row r="33" spans="2:11">
      <c r="B33" s="10" t="s">
        <v>1349</v>
      </c>
      <c r="C33" s="43">
        <v>310025003</v>
      </c>
      <c r="D33" s="10" t="s">
        <v>96</v>
      </c>
      <c r="E33" s="10"/>
      <c r="F33" s="11">
        <v>4425000</v>
      </c>
      <c r="G33" s="11">
        <v>114.83</v>
      </c>
      <c r="H33" s="11">
        <v>5081.1899999999996</v>
      </c>
      <c r="I33" s="12">
        <v>2.5999999999999999E-2</v>
      </c>
      <c r="J33" s="12">
        <v>5.6399999999999999E-2</v>
      </c>
      <c r="K33" s="12">
        <f>H33/'סכום נכסי הקרן'!$C$42</f>
        <v>1.3972945555640304E-3</v>
      </c>
    </row>
    <row r="34" spans="2:11">
      <c r="B34" s="10" t="s">
        <v>1350</v>
      </c>
      <c r="C34" s="43">
        <v>310025002</v>
      </c>
      <c r="D34" s="10" t="s">
        <v>96</v>
      </c>
      <c r="E34" s="10"/>
      <c r="F34" s="11">
        <v>3227152</v>
      </c>
      <c r="G34" s="11">
        <v>71.98</v>
      </c>
      <c r="H34" s="11">
        <v>2322.7600000000002</v>
      </c>
      <c r="I34" s="12">
        <v>1.4E-2</v>
      </c>
      <c r="J34" s="12">
        <v>2.58E-2</v>
      </c>
      <c r="K34" s="12">
        <f>H34/'סכום נכסי הקרן'!$C$42</f>
        <v>6.3874405442069832E-4</v>
      </c>
    </row>
    <row r="35" spans="2:11">
      <c r="B35" s="10" t="s">
        <v>1351</v>
      </c>
      <c r="C35" s="43">
        <v>98408701</v>
      </c>
      <c r="D35" s="10" t="s">
        <v>43</v>
      </c>
      <c r="E35" s="10"/>
      <c r="F35" s="11">
        <v>71212</v>
      </c>
      <c r="G35" s="11">
        <v>0</v>
      </c>
      <c r="H35" s="11">
        <v>0</v>
      </c>
      <c r="I35" s="7"/>
      <c r="J35" s="12">
        <v>0</v>
      </c>
      <c r="K35" s="12">
        <f>H35/'סכום נכסי הקרן'!$C$42</f>
        <v>0</v>
      </c>
    </row>
    <row r="36" spans="2:11">
      <c r="B36" s="10" t="s">
        <v>1352</v>
      </c>
      <c r="C36" s="43">
        <v>603054483</v>
      </c>
      <c r="D36" s="10" t="s">
        <v>43</v>
      </c>
      <c r="E36" s="10"/>
      <c r="F36" s="11">
        <v>1507302</v>
      </c>
      <c r="G36" s="11">
        <v>130.93</v>
      </c>
      <c r="H36" s="11">
        <v>7586.14</v>
      </c>
      <c r="I36" s="7"/>
      <c r="J36" s="12">
        <v>8.4199999999999997E-2</v>
      </c>
      <c r="K36" s="12">
        <f>H36/'סכום נכסי הקרן'!$C$42</f>
        <v>2.0861396877004238E-3</v>
      </c>
    </row>
    <row r="37" spans="2:11">
      <c r="B37" s="10" t="s">
        <v>1353</v>
      </c>
      <c r="C37" s="43">
        <v>98409048</v>
      </c>
      <c r="D37" s="10" t="s">
        <v>43</v>
      </c>
      <c r="E37" s="10"/>
      <c r="F37" s="11">
        <v>77306</v>
      </c>
      <c r="G37" s="11">
        <v>58.17</v>
      </c>
      <c r="H37" s="11">
        <v>172.86</v>
      </c>
      <c r="I37" s="7"/>
      <c r="J37" s="12">
        <v>1.9E-3</v>
      </c>
      <c r="K37" s="12">
        <f>H37/'סכום נכסי הקרן'!$C$42</f>
        <v>4.7535387748696342E-5</v>
      </c>
    </row>
    <row r="38" spans="2:11">
      <c r="B38" s="10" t="s">
        <v>1354</v>
      </c>
      <c r="C38" s="43">
        <v>100260025</v>
      </c>
      <c r="D38" s="10" t="s">
        <v>43</v>
      </c>
      <c r="E38" s="10" t="s">
        <v>1306</v>
      </c>
      <c r="F38" s="11">
        <v>115877</v>
      </c>
      <c r="G38" s="11">
        <v>101.43</v>
      </c>
      <c r="H38" s="11">
        <v>451.78</v>
      </c>
      <c r="I38" s="12">
        <v>1E-4</v>
      </c>
      <c r="J38" s="12">
        <v>5.0000000000000001E-3</v>
      </c>
      <c r="K38" s="12">
        <f>H38/'סכום נכסי הקרן'!$C$42</f>
        <v>1.2423659306436439E-4</v>
      </c>
    </row>
    <row r="39" spans="2:11">
      <c r="B39" s="10" t="s">
        <v>1355</v>
      </c>
      <c r="C39" s="43">
        <v>100260033</v>
      </c>
      <c r="D39" s="10" t="s">
        <v>96</v>
      </c>
      <c r="E39" s="10" t="s">
        <v>1356</v>
      </c>
      <c r="F39" s="11">
        <v>133039.57</v>
      </c>
      <c r="G39" s="11">
        <v>94.45</v>
      </c>
      <c r="H39" s="11">
        <v>125.65</v>
      </c>
      <c r="I39" s="12">
        <v>2.9999999999999997E-4</v>
      </c>
      <c r="J39" s="12">
        <v>1.4E-3</v>
      </c>
      <c r="K39" s="12">
        <f>H39/'סכום נכסי הקרן'!$C$42</f>
        <v>3.4552941516971507E-5</v>
      </c>
    </row>
    <row r="40" spans="2:11">
      <c r="B40" s="10" t="s">
        <v>1357</v>
      </c>
      <c r="C40" s="43">
        <v>100250034</v>
      </c>
      <c r="D40" s="10" t="s">
        <v>96</v>
      </c>
      <c r="E40" s="10"/>
      <c r="F40" s="11">
        <v>1186460</v>
      </c>
      <c r="G40" s="11">
        <v>88.95</v>
      </c>
      <c r="H40" s="11">
        <v>1055.4100000000001</v>
      </c>
      <c r="I40" s="12">
        <v>9.4999999999999998E-3</v>
      </c>
      <c r="J40" s="12">
        <v>1.17E-2</v>
      </c>
      <c r="K40" s="12">
        <f>H40/'סכום נכסי הקרן'!$C$42</f>
        <v>2.9023095906428095E-4</v>
      </c>
    </row>
    <row r="41" spans="2:11">
      <c r="B41" s="10" t="s">
        <v>1358</v>
      </c>
      <c r="C41" s="43">
        <v>100260017</v>
      </c>
      <c r="D41" s="10" t="s">
        <v>96</v>
      </c>
      <c r="E41" s="10" t="s">
        <v>1359</v>
      </c>
      <c r="F41" s="11">
        <v>170223</v>
      </c>
      <c r="G41" s="11">
        <v>94.55</v>
      </c>
      <c r="H41" s="11">
        <v>160.94999999999999</v>
      </c>
      <c r="I41" s="12">
        <v>4.0000000000000002E-4</v>
      </c>
      <c r="J41" s="12">
        <v>1.8E-3</v>
      </c>
      <c r="K41" s="12">
        <f>H41/'סכום נכסי הקרן'!$C$42</f>
        <v>4.4260214382463699E-5</v>
      </c>
    </row>
    <row r="42" spans="2:11">
      <c r="B42" s="10" t="s">
        <v>1360</v>
      </c>
      <c r="C42" s="43">
        <v>98409485</v>
      </c>
      <c r="D42" s="10" t="s">
        <v>43</v>
      </c>
      <c r="E42" s="10"/>
      <c r="F42" s="11">
        <v>817664.73</v>
      </c>
      <c r="G42" s="11">
        <v>15.5</v>
      </c>
      <c r="H42" s="11">
        <v>487.03</v>
      </c>
      <c r="I42" s="7"/>
      <c r="J42" s="12">
        <v>5.4000000000000003E-3</v>
      </c>
      <c r="K42" s="12">
        <f>H42/'סכום נכסי הקרן'!$C$42</f>
        <v>1.3393011625157685E-4</v>
      </c>
    </row>
    <row r="43" spans="2:11">
      <c r="B43" s="10"/>
      <c r="C43" s="43"/>
      <c r="D43" s="10"/>
      <c r="E43" s="10"/>
      <c r="F43" s="11"/>
      <c r="G43" s="11"/>
      <c r="H43" s="11"/>
      <c r="I43" s="7"/>
      <c r="J43" s="12"/>
      <c r="K43" s="12"/>
    </row>
    <row r="44" spans="2:11">
      <c r="B44" s="8" t="s">
        <v>1361</v>
      </c>
      <c r="C44" s="38"/>
      <c r="D44" s="8"/>
      <c r="E44" s="8"/>
      <c r="F44" s="13">
        <f>F46+F49+F53+F58</f>
        <v>7682420.5800000001</v>
      </c>
      <c r="G44" s="13">
        <f t="shared" ref="G44:K44" si="7">G46+G49+G53+G58</f>
        <v>0</v>
      </c>
      <c r="H44" s="13">
        <f t="shared" si="7"/>
        <v>39976.296000000002</v>
      </c>
      <c r="I44" s="13"/>
      <c r="J44" s="53">
        <f t="shared" si="7"/>
        <v>0.44490000000000002</v>
      </c>
      <c r="K44" s="53">
        <f t="shared" si="7"/>
        <v>1.0993224176308332E-2</v>
      </c>
    </row>
    <row r="45" spans="2:11">
      <c r="B45" s="8"/>
      <c r="C45" s="38"/>
      <c r="D45" s="8"/>
      <c r="E45" s="8"/>
      <c r="F45" s="13"/>
      <c r="G45" s="7"/>
      <c r="H45" s="13"/>
      <c r="I45" s="7"/>
      <c r="J45" s="14"/>
      <c r="K45" s="14"/>
    </row>
    <row r="46" spans="2:11">
      <c r="B46" s="39" t="s">
        <v>1331</v>
      </c>
      <c r="C46" s="40"/>
      <c r="D46" s="39"/>
      <c r="E46" s="39"/>
      <c r="F46" s="42">
        <f>F47</f>
        <v>750214.76</v>
      </c>
      <c r="G46" s="7"/>
      <c r="H46" s="42">
        <f>H47</f>
        <v>190.94</v>
      </c>
      <c r="I46" s="7"/>
      <c r="J46" s="41">
        <f>J47</f>
        <v>2.0999999999999999E-3</v>
      </c>
      <c r="K46" s="41">
        <f>K47</f>
        <v>5.2507271414648146E-5</v>
      </c>
    </row>
    <row r="47" spans="2:11">
      <c r="B47" s="10" t="s">
        <v>1362</v>
      </c>
      <c r="C47" s="43">
        <v>98408297</v>
      </c>
      <c r="D47" s="10" t="s">
        <v>43</v>
      </c>
      <c r="E47" s="10"/>
      <c r="F47" s="11">
        <v>750214.76</v>
      </c>
      <c r="G47" s="11">
        <v>6.62</v>
      </c>
      <c r="H47" s="11">
        <v>190.94</v>
      </c>
      <c r="I47" s="7"/>
      <c r="J47" s="12">
        <v>2.0999999999999999E-3</v>
      </c>
      <c r="K47" s="12">
        <f>H47/'סכום נכסי הקרן'!$C$42</f>
        <v>5.2507271414648146E-5</v>
      </c>
    </row>
    <row r="48" spans="2:11">
      <c r="B48" s="10"/>
      <c r="C48" s="43"/>
      <c r="D48" s="10"/>
      <c r="E48" s="10"/>
      <c r="F48" s="11"/>
      <c r="G48" s="11"/>
      <c r="H48" s="11"/>
      <c r="I48" s="7"/>
      <c r="J48" s="12"/>
      <c r="K48" s="12"/>
    </row>
    <row r="49" spans="2:11">
      <c r="B49" s="39" t="s">
        <v>1340</v>
      </c>
      <c r="C49" s="40"/>
      <c r="D49" s="39"/>
      <c r="E49" s="39"/>
      <c r="F49" s="42">
        <f>F50+F51</f>
        <v>16204.82</v>
      </c>
      <c r="G49" s="42"/>
      <c r="H49" s="42">
        <f t="shared" ref="H49:K49" si="8">H50+H51</f>
        <v>14375.006000000001</v>
      </c>
      <c r="I49" s="42"/>
      <c r="J49" s="41">
        <f t="shared" si="8"/>
        <v>0.1608</v>
      </c>
      <c r="K49" s="41">
        <f t="shared" si="8"/>
        <v>3.9530341553849144E-3</v>
      </c>
    </row>
    <row r="50" spans="2:11">
      <c r="B50" s="10" t="s">
        <v>1363</v>
      </c>
      <c r="C50" s="43" t="s">
        <v>1364</v>
      </c>
      <c r="D50" s="10" t="s">
        <v>96</v>
      </c>
      <c r="E50" s="10"/>
      <c r="F50" s="11">
        <v>3493.73</v>
      </c>
      <c r="G50" s="11">
        <v>227859.72</v>
      </c>
      <c r="H50" s="11">
        <v>7960.8</v>
      </c>
      <c r="I50" s="7"/>
      <c r="J50" s="12">
        <v>8.8400000000000006E-2</v>
      </c>
      <c r="K50" s="12">
        <f>H50/'סכום נכסי הקרן'!$C$42</f>
        <v>2.1891687769861265E-3</v>
      </c>
    </row>
    <row r="51" spans="2:11">
      <c r="B51" s="10" t="s">
        <v>1365</v>
      </c>
      <c r="C51" s="43">
        <v>20012142</v>
      </c>
      <c r="D51" s="10" t="s">
        <v>43</v>
      </c>
      <c r="E51" s="10"/>
      <c r="F51" s="11">
        <v>12711.09</v>
      </c>
      <c r="G51" s="11">
        <v>13341.29</v>
      </c>
      <c r="H51" s="11">
        <f>6518.7-104.494</f>
        <v>6414.2060000000001</v>
      </c>
      <c r="I51" s="7"/>
      <c r="J51" s="12">
        <v>7.2400000000000006E-2</v>
      </c>
      <c r="K51" s="12">
        <f>H51/'סכום נכסי הקרן'!$C$42</f>
        <v>1.7638653783987883E-3</v>
      </c>
    </row>
    <row r="52" spans="2:11">
      <c r="B52" s="10"/>
      <c r="C52" s="43"/>
      <c r="D52" s="10"/>
      <c r="E52" s="10"/>
      <c r="F52" s="11"/>
      <c r="G52" s="11"/>
      <c r="H52" s="11"/>
      <c r="I52" s="7"/>
      <c r="J52" s="12"/>
      <c r="K52" s="12"/>
    </row>
    <row r="53" spans="2:11">
      <c r="B53" s="39" t="s">
        <v>1341</v>
      </c>
      <c r="C53" s="40"/>
      <c r="D53" s="39"/>
      <c r="E53" s="39"/>
      <c r="F53" s="42">
        <f>SUM(F54:F56)</f>
        <v>6916001</v>
      </c>
      <c r="G53" s="42"/>
      <c r="H53" s="42">
        <f t="shared" ref="H53:K53" si="9">SUM(H54:H56)</f>
        <v>25410.350000000002</v>
      </c>
      <c r="I53" s="42"/>
      <c r="J53" s="41">
        <f t="shared" si="9"/>
        <v>0.28200000000000003</v>
      </c>
      <c r="K53" s="41">
        <f t="shared" si="9"/>
        <v>6.9876827495087696E-3</v>
      </c>
    </row>
    <row r="54" spans="2:11">
      <c r="B54" s="10" t="s">
        <v>1366</v>
      </c>
      <c r="C54" s="43">
        <v>100250018</v>
      </c>
      <c r="D54" s="10" t="s">
        <v>43</v>
      </c>
      <c r="E54" s="10"/>
      <c r="F54" s="11">
        <v>2840001</v>
      </c>
      <c r="G54" s="11">
        <v>95.84</v>
      </c>
      <c r="H54" s="11">
        <v>10462.370000000001</v>
      </c>
      <c r="I54" s="12">
        <v>4.0599999999999997E-2</v>
      </c>
      <c r="J54" s="12">
        <v>0.11609999999999999</v>
      </c>
      <c r="K54" s="12">
        <f>H54/'סכום נכסי הקרן'!$C$42</f>
        <v>2.8770844308708093E-3</v>
      </c>
    </row>
    <row r="55" spans="2:11">
      <c r="B55" s="10" t="s">
        <v>1367</v>
      </c>
      <c r="C55" s="43">
        <v>100250042</v>
      </c>
      <c r="D55" s="10" t="s">
        <v>48</v>
      </c>
      <c r="E55" s="10"/>
      <c r="F55" s="11">
        <v>2136000</v>
      </c>
      <c r="G55" s="11">
        <v>104.33</v>
      </c>
      <c r="H55" s="11">
        <v>8958.82</v>
      </c>
      <c r="I55" s="12">
        <v>2.5999999999999999E-2</v>
      </c>
      <c r="J55" s="12">
        <v>9.9400000000000002E-2</v>
      </c>
      <c r="K55" s="12">
        <f>H55/'סכום נכסי הקרן'!$C$42</f>
        <v>2.4636178553209286E-3</v>
      </c>
    </row>
    <row r="56" spans="2:11">
      <c r="B56" s="10" t="s">
        <v>1368</v>
      </c>
      <c r="C56" s="43">
        <v>100250067</v>
      </c>
      <c r="D56" s="10" t="s">
        <v>43</v>
      </c>
      <c r="E56" s="10" t="s">
        <v>1369</v>
      </c>
      <c r="F56" s="11">
        <v>1940000</v>
      </c>
      <c r="G56" s="11">
        <v>80.31</v>
      </c>
      <c r="H56" s="11">
        <v>5989.16</v>
      </c>
      <c r="I56" s="12">
        <v>3.5900000000000001E-2</v>
      </c>
      <c r="J56" s="12">
        <v>6.6500000000000004E-2</v>
      </c>
      <c r="K56" s="12">
        <f>H56/'סכום נכסי הקרן'!$C$42</f>
        <v>1.646980463317032E-3</v>
      </c>
    </row>
    <row r="57" spans="2:11">
      <c r="B57" s="10"/>
      <c r="C57" s="43"/>
      <c r="D57" s="10"/>
      <c r="E57" s="10"/>
      <c r="F57" s="11"/>
      <c r="G57" s="11"/>
      <c r="H57" s="11"/>
      <c r="I57" s="12"/>
      <c r="J57" s="12"/>
      <c r="K57" s="12"/>
    </row>
    <row r="58" spans="2:11">
      <c r="B58" s="39" t="s">
        <v>1344</v>
      </c>
      <c r="C58" s="40"/>
      <c r="D58" s="39"/>
      <c r="E58" s="39"/>
      <c r="F58" s="42">
        <v>0</v>
      </c>
      <c r="G58" s="7"/>
      <c r="H58" s="42">
        <v>0</v>
      </c>
      <c r="I58" s="7"/>
      <c r="J58" s="41">
        <v>0</v>
      </c>
      <c r="K58" s="41">
        <v>0</v>
      </c>
    </row>
    <row r="61" spans="2:11">
      <c r="B61" s="3" t="s">
        <v>121</v>
      </c>
      <c r="C61" s="5"/>
      <c r="D61" s="3"/>
      <c r="E61" s="3"/>
    </row>
    <row r="65" spans="2:2">
      <c r="B65" s="2" t="s">
        <v>76</v>
      </c>
    </row>
  </sheetData>
  <mergeCells count="2">
    <mergeCell ref="B6:K6"/>
    <mergeCell ref="B9:K9"/>
  </mergeCells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>
      <selection activeCell="B6" sqref="B6:L9"/>
    </sheetView>
  </sheetViews>
  <sheetFormatPr defaultColWidth="9.140625" defaultRowHeight="12.75"/>
  <cols>
    <col min="1" max="1" width="2.140625" customWidth="1"/>
    <col min="2" max="2" width="32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7.7109375" customWidth="1"/>
    <col min="12" max="12" width="20.7109375" customWidth="1"/>
  </cols>
  <sheetData>
    <row r="1" spans="2:12">
      <c r="B1" s="15" t="s">
        <v>1490</v>
      </c>
    </row>
    <row r="2" spans="2:12">
      <c r="B2" s="15" t="s">
        <v>1489</v>
      </c>
    </row>
    <row r="3" spans="2:12">
      <c r="B3" s="15" t="s">
        <v>2</v>
      </c>
    </row>
    <row r="4" spans="2:12">
      <c r="B4" s="15" t="s">
        <v>3</v>
      </c>
    </row>
    <row r="6" spans="2:12">
      <c r="B6" s="113" t="s">
        <v>1200</v>
      </c>
      <c r="C6" s="113"/>
      <c r="D6" s="113"/>
      <c r="E6" s="113"/>
      <c r="F6" s="113"/>
      <c r="G6" s="113"/>
      <c r="H6" s="113"/>
      <c r="I6" s="113"/>
      <c r="J6" s="113"/>
      <c r="K6" s="113"/>
      <c r="L6" s="54"/>
    </row>
    <row r="7" spans="2:12">
      <c r="B7" s="49" t="s">
        <v>1370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2:12">
      <c r="B8" s="49" t="s">
        <v>78</v>
      </c>
      <c r="C8" s="49" t="s">
        <v>79</v>
      </c>
      <c r="D8" s="49" t="s">
        <v>205</v>
      </c>
      <c r="E8" s="49" t="s">
        <v>83</v>
      </c>
      <c r="F8" s="49" t="s">
        <v>125</v>
      </c>
      <c r="G8" s="49" t="s">
        <v>127</v>
      </c>
      <c r="H8" s="49" t="s">
        <v>42</v>
      </c>
      <c r="I8" s="49" t="s">
        <v>1201</v>
      </c>
      <c r="J8" s="49" t="s">
        <v>128</v>
      </c>
      <c r="K8" s="49" t="s">
        <v>129</v>
      </c>
      <c r="L8" s="49" t="s">
        <v>88</v>
      </c>
    </row>
    <row r="9" spans="2:12">
      <c r="B9" s="113"/>
      <c r="C9" s="113"/>
      <c r="D9" s="113"/>
      <c r="E9" s="113"/>
      <c r="F9" s="113" t="s">
        <v>130</v>
      </c>
      <c r="G9" s="113" t="s">
        <v>132</v>
      </c>
      <c r="H9" s="113" t="s">
        <v>133</v>
      </c>
      <c r="I9" s="113" t="s">
        <v>90</v>
      </c>
      <c r="J9" s="113" t="s">
        <v>89</v>
      </c>
      <c r="K9" s="113" t="s">
        <v>89</v>
      </c>
      <c r="L9" s="54" t="s">
        <v>89</v>
      </c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2:12">
      <c r="B11" s="8" t="s">
        <v>1371</v>
      </c>
      <c r="C11" s="38"/>
      <c r="D11" s="8"/>
      <c r="E11" s="8"/>
      <c r="F11" s="8"/>
      <c r="G11" s="13">
        <v>0</v>
      </c>
      <c r="H11" s="7"/>
      <c r="I11" s="13">
        <v>0</v>
      </c>
      <c r="J11" s="7"/>
      <c r="K11" s="14">
        <v>0</v>
      </c>
      <c r="L11" s="14">
        <v>0</v>
      </c>
    </row>
    <row r="12" spans="2:12">
      <c r="B12" s="8" t="s">
        <v>1372</v>
      </c>
      <c r="C12" s="38"/>
      <c r="D12" s="8"/>
      <c r="E12" s="8"/>
      <c r="F12" s="8"/>
      <c r="G12" s="13">
        <v>0</v>
      </c>
      <c r="H12" s="7"/>
      <c r="I12" s="13">
        <v>0</v>
      </c>
      <c r="J12" s="7"/>
      <c r="K12" s="14">
        <v>0</v>
      </c>
      <c r="L12" s="14">
        <v>0</v>
      </c>
    </row>
    <row r="13" spans="2:12">
      <c r="B13" s="39" t="s">
        <v>1149</v>
      </c>
      <c r="C13" s="40"/>
      <c r="D13" s="39"/>
      <c r="E13" s="39"/>
      <c r="F13" s="39"/>
      <c r="G13" s="42">
        <v>0</v>
      </c>
      <c r="H13" s="7"/>
      <c r="I13" s="42">
        <v>0</v>
      </c>
      <c r="J13" s="7"/>
      <c r="K13" s="41">
        <v>0</v>
      </c>
      <c r="L13" s="41">
        <v>0</v>
      </c>
    </row>
    <row r="14" spans="2:12">
      <c r="B14" s="8" t="s">
        <v>1373</v>
      </c>
      <c r="C14" s="38"/>
      <c r="D14" s="8"/>
      <c r="E14" s="8"/>
      <c r="F14" s="8"/>
      <c r="G14" s="13">
        <v>0</v>
      </c>
      <c r="H14" s="7"/>
      <c r="I14" s="13">
        <v>0</v>
      </c>
      <c r="J14" s="7"/>
      <c r="K14" s="14">
        <v>0</v>
      </c>
      <c r="L14" s="14">
        <v>0</v>
      </c>
    </row>
    <row r="15" spans="2:12">
      <c r="B15" s="39" t="s">
        <v>1154</v>
      </c>
      <c r="C15" s="40"/>
      <c r="D15" s="39"/>
      <c r="E15" s="39"/>
      <c r="F15" s="39"/>
      <c r="G15" s="42">
        <v>0</v>
      </c>
      <c r="H15" s="7"/>
      <c r="I15" s="42">
        <v>0</v>
      </c>
      <c r="J15" s="7"/>
      <c r="K15" s="41">
        <v>0</v>
      </c>
      <c r="L15" s="41">
        <v>0</v>
      </c>
    </row>
    <row r="18" spans="2:6">
      <c r="B18" s="3" t="s">
        <v>121</v>
      </c>
      <c r="C18" s="5"/>
      <c r="D18" s="3"/>
      <c r="E18" s="3"/>
      <c r="F18" s="3"/>
    </row>
    <row r="22" spans="2:6">
      <c r="B22" s="2" t="s">
        <v>76</v>
      </c>
    </row>
  </sheetData>
  <mergeCells count="2">
    <mergeCell ref="B6:K6"/>
    <mergeCell ref="B9:K9"/>
  </mergeCells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>
      <selection activeCell="B6" sqref="B6:K9"/>
    </sheetView>
  </sheetViews>
  <sheetFormatPr defaultColWidth="9.140625" defaultRowHeight="12.75"/>
  <cols>
    <col min="1" max="1" width="6.140625" customWidth="1"/>
    <col min="2" max="2" width="34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7.7109375" customWidth="1"/>
    <col min="12" max="12" width="20.7109375" customWidth="1"/>
  </cols>
  <sheetData>
    <row r="1" spans="2:12">
      <c r="B1" s="15" t="s">
        <v>1490</v>
      </c>
    </row>
    <row r="2" spans="2:12">
      <c r="B2" s="15" t="s">
        <v>1489</v>
      </c>
    </row>
    <row r="3" spans="2:12">
      <c r="B3" s="15" t="s">
        <v>2</v>
      </c>
    </row>
    <row r="4" spans="2:12">
      <c r="B4" s="15" t="s">
        <v>3</v>
      </c>
    </row>
    <row r="6" spans="2:12">
      <c r="B6" s="113" t="s">
        <v>1200</v>
      </c>
      <c r="C6" s="113"/>
      <c r="D6" s="113"/>
      <c r="E6" s="113"/>
      <c r="F6" s="113"/>
      <c r="G6" s="113"/>
      <c r="H6" s="113"/>
      <c r="I6" s="113"/>
      <c r="J6" s="113"/>
      <c r="K6" s="113"/>
      <c r="L6" s="54"/>
    </row>
    <row r="7" spans="2:12">
      <c r="B7" s="49" t="s">
        <v>1374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2:12">
      <c r="B8" s="49" t="s">
        <v>78</v>
      </c>
      <c r="C8" s="49" t="s">
        <v>79</v>
      </c>
      <c r="D8" s="49" t="s">
        <v>205</v>
      </c>
      <c r="E8" s="49" t="s">
        <v>125</v>
      </c>
      <c r="F8" s="49" t="s">
        <v>83</v>
      </c>
      <c r="G8" s="49" t="s">
        <v>127</v>
      </c>
      <c r="H8" s="49" t="s">
        <v>42</v>
      </c>
      <c r="I8" s="49" t="s">
        <v>1201</v>
      </c>
      <c r="J8" s="49" t="s">
        <v>128</v>
      </c>
      <c r="K8" s="49" t="s">
        <v>129</v>
      </c>
      <c r="L8" s="49" t="s">
        <v>88</v>
      </c>
    </row>
    <row r="9" spans="2:12">
      <c r="B9" s="54"/>
      <c r="C9" s="54"/>
      <c r="D9" s="54"/>
      <c r="E9" s="54" t="s">
        <v>130</v>
      </c>
      <c r="F9" s="54"/>
      <c r="G9" s="54" t="s">
        <v>132</v>
      </c>
      <c r="H9" s="54" t="s">
        <v>133</v>
      </c>
      <c r="I9" s="54" t="s">
        <v>90</v>
      </c>
      <c r="J9" s="54" t="s">
        <v>89</v>
      </c>
      <c r="K9" s="54" t="s">
        <v>89</v>
      </c>
      <c r="L9" s="54" t="s">
        <v>89</v>
      </c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2:12">
      <c r="B11" s="8" t="s">
        <v>1375</v>
      </c>
      <c r="C11" s="38"/>
      <c r="D11" s="8"/>
      <c r="E11" s="8"/>
      <c r="F11" s="8"/>
      <c r="G11" s="13">
        <v>0</v>
      </c>
      <c r="H11" s="7"/>
      <c r="I11" s="13">
        <v>0</v>
      </c>
      <c r="J11" s="7"/>
      <c r="K11" s="14">
        <v>0</v>
      </c>
      <c r="L11" s="14">
        <v>0</v>
      </c>
    </row>
    <row r="12" spans="2:12">
      <c r="B12" s="8" t="s">
        <v>1376</v>
      </c>
      <c r="C12" s="38"/>
      <c r="D12" s="8"/>
      <c r="E12" s="8"/>
      <c r="F12" s="8"/>
      <c r="G12" s="13">
        <v>0</v>
      </c>
      <c r="H12" s="7"/>
      <c r="I12" s="13">
        <v>0</v>
      </c>
      <c r="J12" s="7"/>
      <c r="K12" s="14">
        <v>0</v>
      </c>
      <c r="L12" s="14">
        <v>0</v>
      </c>
    </row>
    <row r="13" spans="2:12">
      <c r="B13" s="39" t="s">
        <v>1377</v>
      </c>
      <c r="C13" s="40"/>
      <c r="D13" s="39"/>
      <c r="E13" s="39"/>
      <c r="F13" s="39"/>
      <c r="G13" s="42">
        <v>0</v>
      </c>
      <c r="H13" s="7"/>
      <c r="I13" s="42">
        <v>0</v>
      </c>
      <c r="J13" s="7"/>
      <c r="K13" s="41">
        <v>0</v>
      </c>
      <c r="L13" s="41">
        <v>0</v>
      </c>
    </row>
    <row r="14" spans="2:12">
      <c r="B14" s="39" t="s">
        <v>1378</v>
      </c>
      <c r="C14" s="40"/>
      <c r="D14" s="39"/>
      <c r="E14" s="39"/>
      <c r="F14" s="39"/>
      <c r="G14" s="42">
        <v>0</v>
      </c>
      <c r="H14" s="7"/>
      <c r="I14" s="42">
        <v>0</v>
      </c>
      <c r="J14" s="7"/>
      <c r="K14" s="41">
        <v>0</v>
      </c>
      <c r="L14" s="41">
        <v>0</v>
      </c>
    </row>
    <row r="15" spans="2:12">
      <c r="B15" s="39" t="s">
        <v>1379</v>
      </c>
      <c r="C15" s="40"/>
      <c r="D15" s="39"/>
      <c r="E15" s="39"/>
      <c r="F15" s="39"/>
      <c r="G15" s="42">
        <v>0</v>
      </c>
      <c r="H15" s="7"/>
      <c r="I15" s="42">
        <v>0</v>
      </c>
      <c r="J15" s="7"/>
      <c r="K15" s="41">
        <v>0</v>
      </c>
      <c r="L15" s="41">
        <v>0</v>
      </c>
    </row>
    <row r="16" spans="2:12">
      <c r="B16" s="39" t="s">
        <v>1380</v>
      </c>
      <c r="C16" s="40"/>
      <c r="D16" s="39"/>
      <c r="E16" s="39"/>
      <c r="F16" s="39"/>
      <c r="G16" s="42">
        <v>0</v>
      </c>
      <c r="H16" s="7"/>
      <c r="I16" s="42">
        <v>0</v>
      </c>
      <c r="J16" s="7"/>
      <c r="K16" s="41">
        <v>0</v>
      </c>
      <c r="L16" s="41">
        <v>0</v>
      </c>
    </row>
    <row r="17" spans="2:12">
      <c r="B17" s="39" t="s">
        <v>1381</v>
      </c>
      <c r="C17" s="40"/>
      <c r="D17" s="39"/>
      <c r="E17" s="39"/>
      <c r="F17" s="39"/>
      <c r="G17" s="42">
        <v>0</v>
      </c>
      <c r="H17" s="7"/>
      <c r="I17" s="42">
        <v>0</v>
      </c>
      <c r="J17" s="7"/>
      <c r="K17" s="41">
        <v>0</v>
      </c>
      <c r="L17" s="41">
        <v>0</v>
      </c>
    </row>
    <row r="18" spans="2:12">
      <c r="B18" s="8" t="s">
        <v>1382</v>
      </c>
      <c r="C18" s="38"/>
      <c r="D18" s="8"/>
      <c r="E18" s="8"/>
      <c r="F18" s="8"/>
      <c r="G18" s="13">
        <v>0</v>
      </c>
      <c r="H18" s="7"/>
      <c r="I18" s="13">
        <v>0</v>
      </c>
      <c r="J18" s="7"/>
      <c r="K18" s="14">
        <v>0</v>
      </c>
      <c r="L18" s="14">
        <v>0</v>
      </c>
    </row>
    <row r="19" spans="2:12">
      <c r="B19" s="39" t="s">
        <v>1377</v>
      </c>
      <c r="C19" s="40"/>
      <c r="D19" s="39"/>
      <c r="E19" s="39"/>
      <c r="F19" s="39"/>
      <c r="G19" s="42">
        <v>0</v>
      </c>
      <c r="H19" s="7"/>
      <c r="I19" s="42">
        <v>0</v>
      </c>
      <c r="J19" s="7"/>
      <c r="K19" s="41">
        <v>0</v>
      </c>
      <c r="L19" s="41">
        <v>0</v>
      </c>
    </row>
    <row r="20" spans="2:12">
      <c r="B20" s="39" t="s">
        <v>1383</v>
      </c>
      <c r="C20" s="40"/>
      <c r="D20" s="39"/>
      <c r="E20" s="39"/>
      <c r="F20" s="39"/>
      <c r="G20" s="42">
        <v>0</v>
      </c>
      <c r="H20" s="7"/>
      <c r="I20" s="42">
        <v>0</v>
      </c>
      <c r="J20" s="7"/>
      <c r="K20" s="41">
        <v>0</v>
      </c>
      <c r="L20" s="41">
        <v>0</v>
      </c>
    </row>
    <row r="21" spans="2:12">
      <c r="B21" s="39" t="s">
        <v>1380</v>
      </c>
      <c r="C21" s="40"/>
      <c r="D21" s="39"/>
      <c r="E21" s="39"/>
      <c r="F21" s="39"/>
      <c r="G21" s="42">
        <v>0</v>
      </c>
      <c r="H21" s="7"/>
      <c r="I21" s="42">
        <v>0</v>
      </c>
      <c r="J21" s="7"/>
      <c r="K21" s="41">
        <v>0</v>
      </c>
      <c r="L21" s="41">
        <v>0</v>
      </c>
    </row>
    <row r="22" spans="2:12">
      <c r="B22" s="39" t="s">
        <v>1384</v>
      </c>
      <c r="C22" s="40"/>
      <c r="D22" s="39"/>
      <c r="E22" s="39"/>
      <c r="F22" s="39"/>
      <c r="G22" s="42">
        <v>0</v>
      </c>
      <c r="H22" s="7"/>
      <c r="I22" s="42">
        <v>0</v>
      </c>
      <c r="J22" s="7"/>
      <c r="K22" s="41">
        <v>0</v>
      </c>
      <c r="L22" s="41">
        <v>0</v>
      </c>
    </row>
    <row r="23" spans="2:12">
      <c r="B23" s="39" t="s">
        <v>1381</v>
      </c>
      <c r="C23" s="40"/>
      <c r="D23" s="39"/>
      <c r="E23" s="39"/>
      <c r="F23" s="39"/>
      <c r="G23" s="42">
        <v>0</v>
      </c>
      <c r="H23" s="7"/>
      <c r="I23" s="42">
        <v>0</v>
      </c>
      <c r="J23" s="7"/>
      <c r="K23" s="41">
        <v>0</v>
      </c>
      <c r="L23" s="41">
        <v>0</v>
      </c>
    </row>
    <row r="26" spans="2:12">
      <c r="B26" s="3" t="s">
        <v>121</v>
      </c>
      <c r="C26" s="5"/>
      <c r="D26" s="3"/>
      <c r="E26" s="3"/>
      <c r="F26" s="3"/>
    </row>
    <row r="30" spans="2:12">
      <c r="B30" s="2" t="s">
        <v>76</v>
      </c>
    </row>
  </sheetData>
  <mergeCells count="1">
    <mergeCell ref="B6:K6"/>
  </mergeCell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3"/>
  <sheetViews>
    <sheetView rightToLeft="1" workbookViewId="0">
      <selection activeCell="J28" sqref="J28"/>
    </sheetView>
  </sheetViews>
  <sheetFormatPr defaultColWidth="9.140625" defaultRowHeight="12.75"/>
  <cols>
    <col min="1" max="1" width="0.140625" style="57" customWidth="1"/>
    <col min="2" max="2" width="49.7109375" style="57" customWidth="1"/>
    <col min="3" max="3" width="14.7109375" style="57" customWidth="1"/>
    <col min="4" max="4" width="8.5703125" style="57" customWidth="1"/>
    <col min="5" max="5" width="8.7109375" style="57" customWidth="1"/>
    <col min="6" max="6" width="10.7109375" style="57" customWidth="1"/>
    <col min="7" max="7" width="15.7109375" style="57" customWidth="1"/>
    <col min="8" max="8" width="10" style="57" customWidth="1"/>
    <col min="9" max="9" width="12.140625" style="57" customWidth="1"/>
    <col min="10" max="10" width="13.7109375" style="57" customWidth="1"/>
    <col min="11" max="11" width="28.7109375" style="57" customWidth="1"/>
    <col min="12" max="12" width="20.7109375" style="57" customWidth="1"/>
    <col min="13" max="16384" width="9.140625" style="57"/>
  </cols>
  <sheetData>
    <row r="1" spans="2:12">
      <c r="B1" s="56" t="s">
        <v>1490</v>
      </c>
    </row>
    <row r="2" spans="2:12">
      <c r="B2" s="56" t="s">
        <v>1489</v>
      </c>
    </row>
    <row r="3" spans="2:12">
      <c r="B3" s="56" t="s">
        <v>2</v>
      </c>
      <c r="J3" s="58"/>
    </row>
    <row r="4" spans="2:12">
      <c r="B4" s="56" t="s">
        <v>3</v>
      </c>
    </row>
    <row r="5" spans="2:12" ht="13.5" thickBot="1"/>
    <row r="6" spans="2:12" ht="13.5" thickBot="1">
      <c r="B6" s="107" t="s">
        <v>77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12">
      <c r="B7" s="59" t="s">
        <v>78</v>
      </c>
      <c r="C7" s="59" t="s">
        <v>79</v>
      </c>
      <c r="D7" s="59" t="s">
        <v>80</v>
      </c>
      <c r="E7" s="59" t="s">
        <v>81</v>
      </c>
      <c r="F7" s="59" t="s">
        <v>82</v>
      </c>
      <c r="G7" s="59" t="s">
        <v>83</v>
      </c>
      <c r="H7" s="59" t="s">
        <v>84</v>
      </c>
      <c r="I7" s="59" t="s">
        <v>85</v>
      </c>
      <c r="J7" s="59" t="s">
        <v>86</v>
      </c>
      <c r="K7" s="59" t="s">
        <v>87</v>
      </c>
      <c r="L7" s="59" t="s">
        <v>88</v>
      </c>
    </row>
    <row r="8" spans="2:12">
      <c r="B8" s="60"/>
      <c r="C8" s="60"/>
      <c r="D8" s="60"/>
      <c r="E8" s="60"/>
      <c r="F8" s="60"/>
      <c r="G8" s="60"/>
      <c r="H8" s="60" t="s">
        <v>89</v>
      </c>
      <c r="I8" s="60" t="s">
        <v>89</v>
      </c>
      <c r="J8" s="60" t="s">
        <v>90</v>
      </c>
      <c r="K8" s="60" t="s">
        <v>89</v>
      </c>
      <c r="L8" s="60" t="s">
        <v>89</v>
      </c>
    </row>
    <row r="9" spans="2:12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2:12">
      <c r="B10" s="62" t="s">
        <v>91</v>
      </c>
      <c r="C10" s="63"/>
      <c r="D10" s="64"/>
      <c r="E10" s="62"/>
      <c r="F10" s="62"/>
      <c r="G10" s="62"/>
      <c r="H10" s="65"/>
      <c r="I10" s="65"/>
      <c r="J10" s="66">
        <f>+J12+J56</f>
        <v>127213.22</v>
      </c>
      <c r="K10" s="67">
        <f>K12+K56</f>
        <v>1</v>
      </c>
      <c r="L10" s="67">
        <f>L12+L56</f>
        <v>3.4982816958580423E-2</v>
      </c>
    </row>
    <row r="11" spans="2:12">
      <c r="B11" s="62"/>
      <c r="C11" s="63"/>
      <c r="D11" s="64"/>
      <c r="E11" s="62"/>
      <c r="F11" s="62"/>
      <c r="G11" s="62"/>
      <c r="H11" s="65"/>
      <c r="I11" s="65"/>
      <c r="J11" s="66"/>
      <c r="K11" s="67"/>
      <c r="L11" s="67"/>
    </row>
    <row r="12" spans="2:12">
      <c r="B12" s="62" t="s">
        <v>92</v>
      </c>
      <c r="C12" s="63"/>
      <c r="D12" s="64"/>
      <c r="E12" s="62"/>
      <c r="F12" s="62"/>
      <c r="G12" s="62"/>
      <c r="H12" s="65"/>
      <c r="I12" s="65"/>
      <c r="J12" s="66">
        <f>+J14+J23+J40+J45+J50+J52+J54</f>
        <v>117068.55</v>
      </c>
      <c r="K12" s="67">
        <f>K14+K23+K40+K45</f>
        <v>0.92025459303679291</v>
      </c>
      <c r="L12" s="67">
        <f>L14+L23+L40+L45</f>
        <v>3.2193097983499043E-2</v>
      </c>
    </row>
    <row r="13" spans="2:12">
      <c r="B13" s="62"/>
      <c r="C13" s="63"/>
      <c r="D13" s="64"/>
      <c r="E13" s="62"/>
      <c r="F13" s="62"/>
      <c r="G13" s="62"/>
      <c r="H13" s="65"/>
      <c r="I13" s="65"/>
      <c r="J13" s="66"/>
      <c r="K13" s="67"/>
      <c r="L13" s="67"/>
    </row>
    <row r="14" spans="2:12">
      <c r="B14" s="68" t="s">
        <v>93</v>
      </c>
      <c r="C14" s="69"/>
      <c r="D14" s="70"/>
      <c r="E14" s="68"/>
      <c r="F14" s="68"/>
      <c r="G14" s="68"/>
      <c r="H14" s="65"/>
      <c r="I14" s="65"/>
      <c r="J14" s="71">
        <f>J15+J16+J17+J18+J19+J20</f>
        <v>76262.09</v>
      </c>
      <c r="K14" s="67">
        <f t="shared" ref="K14:L14" si="0">K15+K16+K17+K18+K19+K20</f>
        <v>0.5994824280055171</v>
      </c>
      <c r="L14" s="67">
        <f t="shared" si="0"/>
        <v>2.0971584048802366E-2</v>
      </c>
    </row>
    <row r="15" spans="2:12">
      <c r="B15" s="72" t="s">
        <v>1500</v>
      </c>
      <c r="C15" s="73" t="s">
        <v>1501</v>
      </c>
      <c r="D15" s="74">
        <v>20</v>
      </c>
      <c r="E15" s="74" t="s">
        <v>94</v>
      </c>
      <c r="F15" s="72" t="s">
        <v>95</v>
      </c>
      <c r="G15" s="72" t="s">
        <v>96</v>
      </c>
      <c r="H15" s="65"/>
      <c r="I15" s="65"/>
      <c r="J15" s="75">
        <f>55892.9-74.54</f>
        <v>55818.36</v>
      </c>
      <c r="K15" s="76">
        <f t="shared" ref="K15:K20" si="1">+J15/$J$10</f>
        <v>0.4387779823512053</v>
      </c>
      <c r="L15" s="76">
        <f>J15/'סכום נכסי הקרן'!$C$42</f>
        <v>1.5349689842047447E-2</v>
      </c>
    </row>
    <row r="16" spans="2:12">
      <c r="B16" s="72" t="s">
        <v>1502</v>
      </c>
      <c r="C16" s="73" t="s">
        <v>1503</v>
      </c>
      <c r="D16" s="74">
        <v>31</v>
      </c>
      <c r="E16" s="72" t="s">
        <v>99</v>
      </c>
      <c r="F16" s="72" t="s">
        <v>95</v>
      </c>
      <c r="G16" s="72" t="s">
        <v>96</v>
      </c>
      <c r="H16" s="65"/>
      <c r="I16" s="65"/>
      <c r="J16" s="75">
        <f>10386.17-0.08+299.03-59.08-0.04</f>
        <v>10626</v>
      </c>
      <c r="K16" s="76">
        <f t="shared" si="1"/>
        <v>8.352905460611719E-2</v>
      </c>
      <c r="L16" s="76">
        <f>J16/'סכום נכסי הקרן'!$C$42</f>
        <v>2.9220816280090666E-3</v>
      </c>
    </row>
    <row r="17" spans="2:12">
      <c r="B17" s="74" t="s">
        <v>1504</v>
      </c>
      <c r="C17" s="77" t="s">
        <v>1505</v>
      </c>
      <c r="D17" s="74">
        <v>14</v>
      </c>
      <c r="E17" s="74" t="s">
        <v>94</v>
      </c>
      <c r="F17" s="74" t="s">
        <v>95</v>
      </c>
      <c r="G17" s="74" t="s">
        <v>96</v>
      </c>
      <c r="H17" s="78"/>
      <c r="I17" s="78"/>
      <c r="J17" s="79">
        <f>9.15</f>
        <v>9.15</v>
      </c>
      <c r="K17" s="76">
        <f t="shared" si="1"/>
        <v>7.1926486885561113E-5</v>
      </c>
      <c r="L17" s="76">
        <f>J17/'סכום נכסי הקרן'!$C$42</f>
        <v>2.5161911251913194E-6</v>
      </c>
    </row>
    <row r="18" spans="2:12">
      <c r="B18" s="72" t="s">
        <v>1506</v>
      </c>
      <c r="C18" s="73" t="s">
        <v>1507</v>
      </c>
      <c r="D18" s="74">
        <v>12</v>
      </c>
      <c r="E18" s="72" t="s">
        <v>221</v>
      </c>
      <c r="F18" s="72" t="s">
        <v>95</v>
      </c>
      <c r="G18" s="72" t="s">
        <v>96</v>
      </c>
      <c r="H18" s="65"/>
      <c r="I18" s="65"/>
      <c r="J18" s="75"/>
      <c r="K18" s="76">
        <f t="shared" si="1"/>
        <v>0</v>
      </c>
      <c r="L18" s="76">
        <f>J18/'סכום נכסי הקרן'!$C$42</f>
        <v>0</v>
      </c>
    </row>
    <row r="19" spans="2:12">
      <c r="B19" s="72" t="s">
        <v>1508</v>
      </c>
      <c r="C19" s="73" t="s">
        <v>1509</v>
      </c>
      <c r="D19" s="74">
        <v>20</v>
      </c>
      <c r="E19" s="74" t="s">
        <v>94</v>
      </c>
      <c r="F19" s="72" t="s">
        <v>95</v>
      </c>
      <c r="G19" s="72" t="s">
        <v>96</v>
      </c>
      <c r="H19" s="65"/>
      <c r="I19" s="65"/>
      <c r="J19" s="75"/>
      <c r="K19" s="76">
        <f t="shared" si="1"/>
        <v>0</v>
      </c>
      <c r="L19" s="76">
        <f>J19/'סכום נכסי הקרן'!$C$42</f>
        <v>0</v>
      </c>
    </row>
    <row r="20" spans="2:12">
      <c r="B20" s="72" t="s">
        <v>1510</v>
      </c>
      <c r="C20" s="73" t="s">
        <v>97</v>
      </c>
      <c r="D20" s="74">
        <v>13</v>
      </c>
      <c r="E20" s="72" t="s">
        <v>98</v>
      </c>
      <c r="F20" s="80" t="s">
        <v>1511</v>
      </c>
      <c r="G20" s="72" t="s">
        <v>96</v>
      </c>
      <c r="H20" s="65"/>
      <c r="I20" s="65"/>
      <c r="J20" s="75">
        <f>9060.02+173.79+574.78-0.01</f>
        <v>9808.5800000000017</v>
      </c>
      <c r="K20" s="76">
        <f t="shared" si="1"/>
        <v>7.7103464561308968E-2</v>
      </c>
      <c r="L20" s="76">
        <f>J20/'סכום נכסי הקרן'!$C$42</f>
        <v>2.6972963876206639E-3</v>
      </c>
    </row>
    <row r="21" spans="2:12">
      <c r="B21" s="72"/>
      <c r="C21" s="73"/>
      <c r="D21" s="74"/>
      <c r="E21" s="72"/>
      <c r="F21" s="72"/>
      <c r="G21" s="72"/>
      <c r="H21" s="65"/>
      <c r="I21" s="65"/>
      <c r="J21" s="75"/>
      <c r="K21" s="76"/>
      <c r="L21" s="81"/>
    </row>
    <row r="22" spans="2:12">
      <c r="B22" s="82"/>
      <c r="C22" s="83"/>
      <c r="D22" s="84"/>
      <c r="E22" s="82"/>
      <c r="F22" s="82"/>
      <c r="G22" s="82"/>
      <c r="H22" s="65"/>
      <c r="I22" s="65"/>
      <c r="J22" s="85"/>
      <c r="K22" s="86"/>
      <c r="L22" s="86"/>
    </row>
    <row r="23" spans="2:12">
      <c r="B23" s="68" t="s">
        <v>100</v>
      </c>
      <c r="C23" s="69"/>
      <c r="D23" s="70"/>
      <c r="E23" s="70"/>
      <c r="F23" s="68"/>
      <c r="G23" s="68"/>
      <c r="H23" s="65"/>
      <c r="I23" s="65"/>
      <c r="J23" s="71">
        <f>SUM(J24:J37)</f>
        <v>15090.2</v>
      </c>
      <c r="K23" s="87">
        <f>SUM(K24:K37)</f>
        <v>0.11862131938803216</v>
      </c>
      <c r="L23" s="87">
        <f>SUM(L24:L37)</f>
        <v>4.1497079035368355E-3</v>
      </c>
    </row>
    <row r="24" spans="2:12">
      <c r="B24" s="88" t="s">
        <v>102</v>
      </c>
      <c r="C24" s="73">
        <v>990252</v>
      </c>
      <c r="D24" s="74">
        <v>20</v>
      </c>
      <c r="E24" s="72" t="s">
        <v>94</v>
      </c>
      <c r="F24" s="72" t="s">
        <v>95</v>
      </c>
      <c r="G24" s="72" t="s">
        <v>53</v>
      </c>
      <c r="H24" s="65"/>
      <c r="I24" s="65"/>
      <c r="J24" s="75">
        <f>95.14</f>
        <v>95.14</v>
      </c>
      <c r="K24" s="89">
        <f t="shared" ref="K24:K37" si="2">+J24/$J$10</f>
        <v>7.478782472450583E-4</v>
      </c>
      <c r="L24" s="90">
        <f>J24/'סכום נכסי הקרן'!$C$42</f>
        <v>2.616288783067783E-5</v>
      </c>
    </row>
    <row r="25" spans="2:12">
      <c r="B25" s="88" t="s">
        <v>1512</v>
      </c>
      <c r="C25" s="73">
        <v>99025</v>
      </c>
      <c r="D25" s="74">
        <v>13</v>
      </c>
      <c r="E25" s="72" t="s">
        <v>98</v>
      </c>
      <c r="F25" s="80" t="s">
        <v>1511</v>
      </c>
      <c r="G25" s="72" t="s">
        <v>53</v>
      </c>
      <c r="H25" s="65"/>
      <c r="I25" s="65"/>
      <c r="J25" s="75">
        <v>13.09</v>
      </c>
      <c r="K25" s="89">
        <f t="shared" si="2"/>
        <v>1.0289811074666611E-4</v>
      </c>
      <c r="L25" s="90">
        <f>J25/'סכום נכסי הקרן'!$C$42</f>
        <v>3.5996657736343576E-6</v>
      </c>
    </row>
    <row r="26" spans="2:12">
      <c r="B26" s="88" t="s">
        <v>101</v>
      </c>
      <c r="C26" s="73">
        <v>990251</v>
      </c>
      <c r="D26" s="74">
        <v>31</v>
      </c>
      <c r="E26" s="72" t="s">
        <v>99</v>
      </c>
      <c r="F26" s="72" t="s">
        <v>95</v>
      </c>
      <c r="G26" s="72" t="s">
        <v>53</v>
      </c>
      <c r="H26" s="65"/>
      <c r="I26" s="65"/>
      <c r="J26" s="75">
        <f>120.19</f>
        <v>120.19</v>
      </c>
      <c r="K26" s="89">
        <f t="shared" si="2"/>
        <v>9.447917441284797E-4</v>
      </c>
      <c r="L26" s="90">
        <f>J26/'סכום נכסי הקרן'!$C$42</f>
        <v>3.3051476648824555E-5</v>
      </c>
    </row>
    <row r="27" spans="2:12">
      <c r="B27" s="88" t="s">
        <v>1513</v>
      </c>
      <c r="C27" s="73">
        <v>99015</v>
      </c>
      <c r="D27" s="74">
        <v>13</v>
      </c>
      <c r="E27" s="72" t="s">
        <v>98</v>
      </c>
      <c r="F27" s="80" t="s">
        <v>1511</v>
      </c>
      <c r="G27" s="72" t="s">
        <v>43</v>
      </c>
      <c r="H27" s="65"/>
      <c r="I27" s="65"/>
      <c r="J27" s="75">
        <f>2884.32+781.02</f>
        <v>3665.34</v>
      </c>
      <c r="K27" s="89">
        <f t="shared" si="2"/>
        <v>2.8812571523619952E-2</v>
      </c>
      <c r="L27" s="90">
        <f>J27/'סכום נכסי הקרן'!$C$42</f>
        <v>1.0079449157168034E-3</v>
      </c>
    </row>
    <row r="28" spans="2:12">
      <c r="B28" s="88" t="s">
        <v>103</v>
      </c>
      <c r="C28" s="73">
        <v>990156</v>
      </c>
      <c r="D28" s="74">
        <v>31</v>
      </c>
      <c r="E28" s="72" t="s">
        <v>99</v>
      </c>
      <c r="F28" s="72" t="s">
        <v>95</v>
      </c>
      <c r="G28" s="72" t="s">
        <v>43</v>
      </c>
      <c r="H28" s="65"/>
      <c r="I28" s="65"/>
      <c r="J28" s="75">
        <v>4796.37</v>
      </c>
      <c r="K28" s="89">
        <f t="shared" si="2"/>
        <v>3.7703392776316798E-2</v>
      </c>
      <c r="L28" s="90">
        <f>J28/'סכום נכסי הקרן'!$C$42</f>
        <v>1.3189708882113539E-3</v>
      </c>
    </row>
    <row r="29" spans="2:12">
      <c r="B29" s="88" t="s">
        <v>104</v>
      </c>
      <c r="C29" s="73">
        <v>990151</v>
      </c>
      <c r="D29" s="74">
        <v>20</v>
      </c>
      <c r="E29" s="72" t="s">
        <v>94</v>
      </c>
      <c r="F29" s="72" t="s">
        <v>95</v>
      </c>
      <c r="G29" s="72" t="s">
        <v>43</v>
      </c>
      <c r="H29" s="65"/>
      <c r="I29" s="65"/>
      <c r="J29" s="75">
        <f>5074.55-6.33</f>
        <v>5068.22</v>
      </c>
      <c r="K29" s="89">
        <f t="shared" si="2"/>
        <v>3.9840356214550662E-2</v>
      </c>
      <c r="L29" s="90">
        <f>J29/'סכום נכסי הקרן'!$C$42</f>
        <v>1.3937278890182676E-3</v>
      </c>
    </row>
    <row r="30" spans="2:12">
      <c r="B30" s="88" t="s">
        <v>106</v>
      </c>
      <c r="C30" s="73">
        <v>990162</v>
      </c>
      <c r="D30" s="74">
        <v>31</v>
      </c>
      <c r="E30" s="72" t="s">
        <v>99</v>
      </c>
      <c r="F30" s="72" t="s">
        <v>95</v>
      </c>
      <c r="G30" s="72" t="s">
        <v>48</v>
      </c>
      <c r="H30" s="65"/>
      <c r="I30" s="65"/>
      <c r="J30" s="75">
        <f>630.48</f>
        <v>630.48</v>
      </c>
      <c r="K30" s="89">
        <f t="shared" si="2"/>
        <v>4.9560886832359088E-3</v>
      </c>
      <c r="L30" s="90">
        <f>J30/'סכום נכסי הקרן'!$C$42</f>
        <v>1.7337794323613368E-4</v>
      </c>
    </row>
    <row r="31" spans="2:12">
      <c r="B31" s="88" t="s">
        <v>105</v>
      </c>
      <c r="C31" s="73">
        <v>990163</v>
      </c>
      <c r="D31" s="74">
        <v>20</v>
      </c>
      <c r="E31" s="74" t="s">
        <v>94</v>
      </c>
      <c r="F31" s="72" t="s">
        <v>95</v>
      </c>
      <c r="G31" s="72" t="s">
        <v>48</v>
      </c>
      <c r="H31" s="65"/>
      <c r="I31" s="65"/>
      <c r="J31" s="75">
        <f>420.47+94.24</f>
        <v>514.71</v>
      </c>
      <c r="K31" s="89">
        <f t="shared" si="2"/>
        <v>4.0460417557231865E-3</v>
      </c>
      <c r="L31" s="90">
        <f>J31/'סכום נכסי הקרן'!$C$42</f>
        <v>1.4154193814723759E-4</v>
      </c>
    </row>
    <row r="32" spans="2:12">
      <c r="B32" s="88" t="s">
        <v>1514</v>
      </c>
      <c r="C32" s="73">
        <v>99015</v>
      </c>
      <c r="D32" s="74">
        <v>13</v>
      </c>
      <c r="E32" s="72" t="s">
        <v>98</v>
      </c>
      <c r="F32" s="72" t="s">
        <v>95</v>
      </c>
      <c r="G32" s="72" t="s">
        <v>48</v>
      </c>
      <c r="H32" s="65"/>
      <c r="I32" s="65"/>
      <c r="J32" s="75">
        <v>3.13</v>
      </c>
      <c r="K32" s="89">
        <f t="shared" si="2"/>
        <v>2.46043610876291E-5</v>
      </c>
      <c r="L32" s="90">
        <f>J32/'סכום נכסי הקרן'!$C$42</f>
        <v>8.6072986031134747E-7</v>
      </c>
    </row>
    <row r="33" spans="2:12">
      <c r="B33" s="72" t="s">
        <v>1515</v>
      </c>
      <c r="C33" s="73" t="s">
        <v>1516</v>
      </c>
      <c r="D33" s="74">
        <v>20</v>
      </c>
      <c r="E33" s="72" t="s">
        <v>94</v>
      </c>
      <c r="F33" s="72" t="s">
        <v>95</v>
      </c>
      <c r="G33" s="72" t="s">
        <v>43</v>
      </c>
      <c r="H33" s="65"/>
      <c r="I33" s="65"/>
      <c r="J33" s="75"/>
      <c r="K33" s="89">
        <f t="shared" si="2"/>
        <v>0</v>
      </c>
      <c r="L33" s="90">
        <f>J33/'סכום נכסי הקרן'!$C$42</f>
        <v>0</v>
      </c>
    </row>
    <row r="34" spans="2:12">
      <c r="B34" s="72" t="s">
        <v>1517</v>
      </c>
      <c r="C34" s="73" t="s">
        <v>1518</v>
      </c>
      <c r="D34" s="74">
        <v>20</v>
      </c>
      <c r="E34" s="72" t="s">
        <v>94</v>
      </c>
      <c r="F34" s="72" t="s">
        <v>95</v>
      </c>
      <c r="G34" s="72" t="s">
        <v>48</v>
      </c>
      <c r="H34" s="65"/>
      <c r="I34" s="65"/>
      <c r="J34" s="75"/>
      <c r="K34" s="89">
        <f t="shared" si="2"/>
        <v>0</v>
      </c>
      <c r="L34" s="90">
        <f>J34/'סכום נכסי הקרן'!$C$42</f>
        <v>0</v>
      </c>
    </row>
    <row r="35" spans="2:12">
      <c r="B35" s="72" t="s">
        <v>1519</v>
      </c>
      <c r="C35" s="73">
        <v>990172</v>
      </c>
      <c r="D35" s="74">
        <v>31</v>
      </c>
      <c r="E35" s="72" t="s">
        <v>94</v>
      </c>
      <c r="F35" s="72" t="s">
        <v>95</v>
      </c>
      <c r="G35" s="72" t="s">
        <v>45</v>
      </c>
      <c r="H35" s="65"/>
      <c r="I35" s="65"/>
      <c r="J35" s="75">
        <v>3.98</v>
      </c>
      <c r="K35" s="89">
        <f t="shared" si="2"/>
        <v>3.1286056590659369E-5</v>
      </c>
      <c r="L35" s="90">
        <f>J35/'סכום נכסי הקרן'!$C$42</f>
        <v>1.0944743910668252E-6</v>
      </c>
    </row>
    <row r="36" spans="2:12">
      <c r="B36" s="72" t="s">
        <v>1520</v>
      </c>
      <c r="C36" s="77">
        <v>990273</v>
      </c>
      <c r="D36" s="74">
        <v>20</v>
      </c>
      <c r="E36" s="72" t="s">
        <v>94</v>
      </c>
      <c r="F36" s="72" t="s">
        <v>95</v>
      </c>
      <c r="G36" s="72" t="s">
        <v>58</v>
      </c>
      <c r="H36" s="65"/>
      <c r="I36" s="65"/>
      <c r="J36" s="75">
        <f>100.69</f>
        <v>100.69</v>
      </c>
      <c r="K36" s="89">
        <f t="shared" si="2"/>
        <v>7.915057884707265E-4</v>
      </c>
      <c r="L36" s="90">
        <f>J36/'סכום נכסי הקרן'!$C$42</f>
        <v>2.7689102119728301E-5</v>
      </c>
    </row>
    <row r="37" spans="2:12">
      <c r="B37" s="72" t="s">
        <v>1521</v>
      </c>
      <c r="C37" s="77">
        <v>990272</v>
      </c>
      <c r="D37" s="74">
        <v>31</v>
      </c>
      <c r="E37" s="72" t="s">
        <v>99</v>
      </c>
      <c r="F37" s="72" t="s">
        <v>95</v>
      </c>
      <c r="G37" s="72" t="s">
        <v>58</v>
      </c>
      <c r="H37" s="65"/>
      <c r="I37" s="65"/>
      <c r="J37" s="75">
        <f>78.86</f>
        <v>78.86</v>
      </c>
      <c r="K37" s="89">
        <f t="shared" si="2"/>
        <v>6.199041263164316E-4</v>
      </c>
      <c r="L37" s="90">
        <f>J37/'סכום נכסי הקרן'!$C$42</f>
        <v>2.1685992582796442E-5</v>
      </c>
    </row>
    <row r="38" spans="2:12">
      <c r="B38" s="91"/>
      <c r="C38" s="83"/>
      <c r="D38" s="84"/>
      <c r="E38" s="92"/>
      <c r="F38" s="82"/>
      <c r="G38" s="82"/>
      <c r="H38" s="93"/>
      <c r="I38" s="93"/>
      <c r="J38" s="75"/>
      <c r="K38" s="76"/>
      <c r="L38" s="76"/>
    </row>
    <row r="39" spans="2:12">
      <c r="B39" s="91"/>
      <c r="C39" s="83"/>
      <c r="D39" s="84"/>
      <c r="E39" s="92"/>
      <c r="F39" s="82"/>
      <c r="G39" s="82"/>
      <c r="H39" s="93"/>
      <c r="I39" s="93"/>
      <c r="J39" s="75"/>
      <c r="K39" s="76"/>
      <c r="L39" s="76"/>
    </row>
    <row r="40" spans="2:12">
      <c r="B40" s="68" t="s">
        <v>107</v>
      </c>
      <c r="C40" s="69"/>
      <c r="D40" s="70"/>
      <c r="E40" s="68"/>
      <c r="F40" s="68"/>
      <c r="G40" s="68"/>
      <c r="H40" s="65"/>
      <c r="I40" s="65"/>
      <c r="J40" s="71">
        <f>SUM(J41:J42)</f>
        <v>7116.18</v>
      </c>
      <c r="K40" s="94">
        <f>+J40/$J$10</f>
        <v>5.5938997535004621E-2</v>
      </c>
      <c r="L40" s="87">
        <f>L41+L42</f>
        <v>1.9569037116135479E-3</v>
      </c>
    </row>
    <row r="41" spans="2:12">
      <c r="B41" s="82" t="s">
        <v>108</v>
      </c>
      <c r="C41" s="83" t="s">
        <v>109</v>
      </c>
      <c r="D41" s="74">
        <v>31</v>
      </c>
      <c r="E41" s="82" t="s">
        <v>99</v>
      </c>
      <c r="F41" s="82" t="s">
        <v>95</v>
      </c>
      <c r="G41" s="82" t="s">
        <v>96</v>
      </c>
      <c r="H41" s="93"/>
      <c r="I41" s="93"/>
      <c r="J41" s="75">
        <v>7115.17</v>
      </c>
      <c r="K41" s="90">
        <f t="shared" ref="K41:K42" si="3">+J41/$J$10</f>
        <v>5.593105810858337E-2</v>
      </c>
      <c r="L41" s="90">
        <f>J41/'סכום נכסי הקרן'!$C$42</f>
        <v>1.9566259681122974E-3</v>
      </c>
    </row>
    <row r="42" spans="2:12">
      <c r="B42" s="82" t="s">
        <v>110</v>
      </c>
      <c r="C42" s="83" t="s">
        <v>1522</v>
      </c>
      <c r="D42" s="74">
        <v>31</v>
      </c>
      <c r="E42" s="82" t="s">
        <v>99</v>
      </c>
      <c r="F42" s="82" t="s">
        <v>95</v>
      </c>
      <c r="G42" s="82" t="s">
        <v>96</v>
      </c>
      <c r="H42" s="93"/>
      <c r="I42" s="93"/>
      <c r="J42" s="75">
        <v>1.01</v>
      </c>
      <c r="K42" s="90">
        <f t="shared" si="3"/>
        <v>7.9394264212477281E-6</v>
      </c>
      <c r="L42" s="90">
        <f>J42/'סכום נכסי הקרן'!$C$42</f>
        <v>2.7774350125062651E-7</v>
      </c>
    </row>
    <row r="43" spans="2:12">
      <c r="B43" s="95"/>
      <c r="C43" s="96"/>
      <c r="D43" s="97"/>
      <c r="E43" s="95"/>
      <c r="F43" s="95"/>
      <c r="G43" s="95"/>
      <c r="H43" s="93"/>
      <c r="I43" s="93"/>
      <c r="J43" s="98"/>
      <c r="K43" s="99"/>
      <c r="L43" s="90"/>
    </row>
    <row r="44" spans="2:12">
      <c r="B44" s="95"/>
      <c r="C44" s="96"/>
      <c r="D44" s="97"/>
      <c r="E44" s="95"/>
      <c r="F44" s="95"/>
      <c r="G44" s="95"/>
      <c r="H44" s="93"/>
      <c r="I44" s="93"/>
      <c r="J44" s="98"/>
      <c r="K44" s="99"/>
      <c r="L44" s="90"/>
    </row>
    <row r="45" spans="2:12">
      <c r="B45" s="68" t="s">
        <v>111</v>
      </c>
      <c r="C45" s="69"/>
      <c r="D45" s="70"/>
      <c r="E45" s="68"/>
      <c r="F45" s="82"/>
      <c r="G45" s="68"/>
      <c r="H45" s="65"/>
      <c r="I45" s="65"/>
      <c r="J45" s="71">
        <f>J46+J47+J48</f>
        <v>18600.079999999998</v>
      </c>
      <c r="K45" s="94">
        <f>K46+K47+K48</f>
        <v>0.14621184810823906</v>
      </c>
      <c r="L45" s="87">
        <f>L46+L47+L48</f>
        <v>5.1149023195462906E-3</v>
      </c>
    </row>
    <row r="46" spans="2:12">
      <c r="B46" s="72" t="s">
        <v>1523</v>
      </c>
      <c r="C46" s="73" t="s">
        <v>1524</v>
      </c>
      <c r="D46" s="74">
        <v>20</v>
      </c>
      <c r="E46" s="72" t="s">
        <v>94</v>
      </c>
      <c r="F46" s="72" t="s">
        <v>95</v>
      </c>
      <c r="G46" s="72" t="s">
        <v>96</v>
      </c>
      <c r="H46" s="65"/>
      <c r="I46" s="65"/>
      <c r="J46" s="75">
        <v>15000.06</v>
      </c>
      <c r="K46" s="76">
        <f>+J46/$J$10</f>
        <v>0.11791274523198139</v>
      </c>
      <c r="L46" s="90">
        <f>J46/'סכום נכסי הקרן'!$C$42</f>
        <v>4.1249199835341312E-3</v>
      </c>
    </row>
    <row r="47" spans="2:12">
      <c r="B47" s="72" t="s">
        <v>1525</v>
      </c>
      <c r="C47" s="73" t="s">
        <v>1526</v>
      </c>
      <c r="D47" s="74">
        <v>31</v>
      </c>
      <c r="E47" s="72" t="s">
        <v>94</v>
      </c>
      <c r="F47" s="72" t="s">
        <v>95</v>
      </c>
      <c r="G47" s="72" t="s">
        <v>96</v>
      </c>
      <c r="H47" s="65"/>
      <c r="I47" s="65"/>
      <c r="J47" s="75">
        <v>1500.02</v>
      </c>
      <c r="K47" s="76">
        <f t="shared" ref="K47:K48" si="4">+J47/$J$10</f>
        <v>1.1791384574653483E-2</v>
      </c>
      <c r="L47" s="90">
        <f>J47/'סכום נכסי הקרן'!$C$42</f>
        <v>4.1249584826333146E-4</v>
      </c>
    </row>
    <row r="48" spans="2:12">
      <c r="B48" s="72" t="s">
        <v>1525</v>
      </c>
      <c r="C48" s="73" t="s">
        <v>1527</v>
      </c>
      <c r="D48" s="74">
        <v>31</v>
      </c>
      <c r="E48" s="72" t="s">
        <v>94</v>
      </c>
      <c r="F48" s="72" t="s">
        <v>95</v>
      </c>
      <c r="G48" s="72" t="s">
        <v>96</v>
      </c>
      <c r="H48" s="65"/>
      <c r="I48" s="65"/>
      <c r="J48" s="75">
        <v>2100</v>
      </c>
      <c r="K48" s="76">
        <f t="shared" si="4"/>
        <v>1.6507718301604187E-2</v>
      </c>
      <c r="L48" s="90">
        <f>J48/'סכום נכסי הקרן'!$C$42</f>
        <v>5.7748648774882743E-4</v>
      </c>
    </row>
    <row r="49" spans="2:12">
      <c r="B49" s="72"/>
      <c r="C49" s="73"/>
      <c r="D49" s="74"/>
      <c r="E49" s="72"/>
      <c r="F49" s="72"/>
      <c r="G49" s="72"/>
      <c r="H49" s="65"/>
      <c r="I49" s="65"/>
      <c r="J49" s="75"/>
      <c r="K49" s="76"/>
      <c r="L49" s="90"/>
    </row>
    <row r="50" spans="2:12">
      <c r="B50" s="72" t="s">
        <v>112</v>
      </c>
      <c r="C50" s="73"/>
      <c r="D50" s="74"/>
      <c r="E50" s="72"/>
      <c r="F50" s="72"/>
      <c r="G50" s="72"/>
      <c r="H50" s="65"/>
      <c r="I50" s="65"/>
      <c r="J50" s="75"/>
      <c r="K50" s="76">
        <v>0</v>
      </c>
      <c r="L50" s="76">
        <v>0</v>
      </c>
    </row>
    <row r="51" spans="2:12">
      <c r="B51" s="72"/>
      <c r="C51" s="73"/>
      <c r="D51" s="74"/>
      <c r="E51" s="72"/>
      <c r="F51" s="72"/>
      <c r="G51" s="72"/>
      <c r="H51" s="65"/>
      <c r="I51" s="65"/>
      <c r="J51" s="75"/>
      <c r="K51" s="76"/>
      <c r="L51" s="76"/>
    </row>
    <row r="52" spans="2:12">
      <c r="B52" s="72" t="s">
        <v>113</v>
      </c>
      <c r="C52" s="73"/>
      <c r="D52" s="74"/>
      <c r="E52" s="72"/>
      <c r="F52" s="72"/>
      <c r="G52" s="72"/>
      <c r="H52" s="65"/>
      <c r="I52" s="65"/>
      <c r="J52" s="75"/>
      <c r="K52" s="76">
        <v>0</v>
      </c>
      <c r="L52" s="76">
        <v>0</v>
      </c>
    </row>
    <row r="53" spans="2:12">
      <c r="B53" s="72"/>
      <c r="C53" s="73"/>
      <c r="D53" s="74"/>
      <c r="E53" s="72"/>
      <c r="F53" s="72"/>
      <c r="G53" s="72"/>
      <c r="H53" s="65"/>
      <c r="I53" s="65"/>
      <c r="J53" s="75"/>
      <c r="K53" s="76"/>
      <c r="L53" s="76"/>
    </row>
    <row r="54" spans="2:12">
      <c r="B54" s="72" t="s">
        <v>114</v>
      </c>
      <c r="C54" s="73"/>
      <c r="D54" s="74"/>
      <c r="E54" s="72"/>
      <c r="F54" s="72"/>
      <c r="G54" s="72"/>
      <c r="H54" s="65"/>
      <c r="I54" s="65"/>
      <c r="J54" s="75">
        <v>0</v>
      </c>
      <c r="K54" s="76">
        <v>0</v>
      </c>
      <c r="L54" s="76">
        <v>0</v>
      </c>
    </row>
    <row r="55" spans="2:12">
      <c r="B55" s="72"/>
      <c r="C55" s="73"/>
      <c r="D55" s="74"/>
      <c r="E55" s="72"/>
      <c r="F55" s="72"/>
      <c r="G55" s="72"/>
      <c r="H55" s="65"/>
      <c r="I55" s="65"/>
      <c r="J55" s="75"/>
      <c r="K55" s="76"/>
      <c r="L55" s="76"/>
    </row>
    <row r="56" spans="2:12">
      <c r="B56" s="100" t="s">
        <v>115</v>
      </c>
      <c r="C56" s="101"/>
      <c r="D56" s="102"/>
      <c r="E56" s="100"/>
      <c r="F56" s="100"/>
      <c r="G56" s="100"/>
      <c r="H56" s="65"/>
      <c r="I56" s="65"/>
      <c r="J56" s="103">
        <f>J58</f>
        <v>10144.67</v>
      </c>
      <c r="K56" s="67">
        <f>K58</f>
        <v>7.974540696320713E-2</v>
      </c>
      <c r="L56" s="67">
        <f>L58</f>
        <v>2.7897189750813794E-3</v>
      </c>
    </row>
    <row r="57" spans="2:12">
      <c r="B57" s="100"/>
      <c r="C57" s="101"/>
      <c r="D57" s="102"/>
      <c r="E57" s="100"/>
      <c r="F57" s="100"/>
      <c r="G57" s="100"/>
      <c r="H57" s="65"/>
      <c r="I57" s="65"/>
      <c r="J57" s="104"/>
      <c r="K57" s="81"/>
      <c r="L57" s="81"/>
    </row>
    <row r="58" spans="2:12">
      <c r="B58" s="72" t="s">
        <v>100</v>
      </c>
      <c r="C58" s="73"/>
      <c r="D58" s="74"/>
      <c r="E58" s="72"/>
      <c r="F58" s="72"/>
      <c r="G58" s="72"/>
      <c r="H58" s="65"/>
      <c r="I58" s="65"/>
      <c r="J58" s="71">
        <f>J60+J61</f>
        <v>10144.67</v>
      </c>
      <c r="K58" s="87">
        <f>+J58/J10</f>
        <v>7.974540696320713E-2</v>
      </c>
      <c r="L58" s="87">
        <f>L59+L60+L61</f>
        <v>2.7897189750813794E-3</v>
      </c>
    </row>
    <row r="59" spans="2:12">
      <c r="B59" s="72" t="s">
        <v>1528</v>
      </c>
      <c r="C59" s="73" t="s">
        <v>1529</v>
      </c>
      <c r="D59" s="74">
        <v>20</v>
      </c>
      <c r="E59" s="72" t="s">
        <v>94</v>
      </c>
      <c r="F59" s="72" t="s">
        <v>118</v>
      </c>
      <c r="G59" s="72" t="s">
        <v>45</v>
      </c>
      <c r="H59" s="65"/>
      <c r="I59" s="65"/>
      <c r="J59" s="75"/>
      <c r="K59" s="76">
        <f>+J59/$J$10</f>
        <v>0</v>
      </c>
      <c r="L59" s="76">
        <f>J59/'סכום נכסי הקרן'!$C$42</f>
        <v>0</v>
      </c>
    </row>
    <row r="60" spans="2:12">
      <c r="B60" s="72" t="s">
        <v>116</v>
      </c>
      <c r="C60" s="73" t="s">
        <v>117</v>
      </c>
      <c r="D60" s="74">
        <v>20</v>
      </c>
      <c r="E60" s="72" t="s">
        <v>94</v>
      </c>
      <c r="F60" s="72" t="s">
        <v>118</v>
      </c>
      <c r="G60" s="72" t="s">
        <v>43</v>
      </c>
      <c r="H60" s="65"/>
      <c r="I60" s="65"/>
      <c r="J60" s="75">
        <v>7530.98</v>
      </c>
      <c r="K60" s="76">
        <f>+J60/$J$10</f>
        <v>5.9199664940483385E-2</v>
      </c>
      <c r="L60" s="76">
        <f>J60/'סכום נכסי הקרן'!$C$42</f>
        <v>2.0709710426222209E-3</v>
      </c>
    </row>
    <row r="61" spans="2:12">
      <c r="B61" s="72" t="s">
        <v>119</v>
      </c>
      <c r="C61" s="73" t="s">
        <v>120</v>
      </c>
      <c r="D61" s="74">
        <v>20</v>
      </c>
      <c r="E61" s="72" t="s">
        <v>94</v>
      </c>
      <c r="F61" s="72" t="s">
        <v>118</v>
      </c>
      <c r="G61" s="72" t="s">
        <v>48</v>
      </c>
      <c r="H61" s="65"/>
      <c r="I61" s="65"/>
      <c r="J61" s="75">
        <v>2613.69</v>
      </c>
      <c r="K61" s="76">
        <f>+J61/$J$10</f>
        <v>2.0545742022723738E-2</v>
      </c>
      <c r="L61" s="76">
        <f>J61/'סכום נכסי הקרן'!$C$42</f>
        <v>7.1874793245915844E-4</v>
      </c>
    </row>
    <row r="62" spans="2:12">
      <c r="B62" s="82"/>
      <c r="C62" s="83"/>
      <c r="D62" s="84"/>
      <c r="E62" s="82"/>
      <c r="F62" s="82"/>
      <c r="G62" s="82"/>
      <c r="H62" s="65"/>
      <c r="I62" s="65"/>
      <c r="J62" s="85"/>
      <c r="K62" s="86"/>
      <c r="L62" s="86"/>
    </row>
    <row r="63" spans="2:12">
      <c r="B63" s="68" t="s">
        <v>114</v>
      </c>
      <c r="C63" s="69"/>
      <c r="D63" s="70"/>
      <c r="E63" s="68"/>
      <c r="F63" s="68"/>
      <c r="G63" s="68"/>
      <c r="H63" s="65"/>
      <c r="I63" s="65"/>
      <c r="J63" s="71">
        <v>0</v>
      </c>
      <c r="K63" s="94">
        <v>0</v>
      </c>
      <c r="L63" s="87">
        <f>J63/'[1]סכום נכסי הקרן'!$C$43</f>
        <v>0</v>
      </c>
    </row>
  </sheetData>
  <mergeCells count="1">
    <mergeCell ref="B6:L6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rightToLeft="1" topLeftCell="A7" zoomScale="80" zoomScaleNormal="80" workbookViewId="0">
      <selection activeCell="A42" sqref="A42:XFD42"/>
    </sheetView>
  </sheetViews>
  <sheetFormatPr defaultColWidth="9.140625" defaultRowHeight="12.75"/>
  <cols>
    <col min="2" max="2" width="3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7.7109375" customWidth="1"/>
    <col min="8" max="8" width="9.7109375" customWidth="1"/>
    <col min="9" max="9" width="12.7109375" customWidth="1"/>
    <col min="10" max="10" width="27.7109375" customWidth="1"/>
    <col min="11" max="11" width="20.7109375" customWidth="1"/>
  </cols>
  <sheetData>
    <row r="1" spans="2:11">
      <c r="B1" s="15" t="s">
        <v>1490</v>
      </c>
    </row>
    <row r="2" spans="2:11">
      <c r="B2" s="15" t="s">
        <v>1489</v>
      </c>
    </row>
    <row r="3" spans="2:11">
      <c r="B3" s="15" t="s">
        <v>2</v>
      </c>
    </row>
    <row r="4" spans="2:11">
      <c r="B4" s="15" t="s">
        <v>3</v>
      </c>
    </row>
    <row r="6" spans="2:11">
      <c r="B6" s="113" t="s">
        <v>1200</v>
      </c>
      <c r="C6" s="113"/>
      <c r="D6" s="113"/>
      <c r="E6" s="113"/>
      <c r="F6" s="113"/>
      <c r="G6" s="113"/>
      <c r="H6" s="113"/>
      <c r="I6" s="113"/>
      <c r="J6" s="113"/>
      <c r="K6" s="113"/>
    </row>
    <row r="7" spans="2:11">
      <c r="B7" s="49" t="s">
        <v>1385</v>
      </c>
      <c r="C7" s="49"/>
      <c r="D7" s="49"/>
      <c r="E7" s="49"/>
      <c r="F7" s="49"/>
      <c r="G7" s="49"/>
      <c r="H7" s="49"/>
      <c r="I7" s="49"/>
      <c r="J7" s="49"/>
      <c r="K7" s="49"/>
    </row>
    <row r="8" spans="2:11">
      <c r="B8" s="49" t="s">
        <v>78</v>
      </c>
      <c r="C8" s="49" t="s">
        <v>79</v>
      </c>
      <c r="D8" s="49" t="s">
        <v>205</v>
      </c>
      <c r="E8" s="49" t="s">
        <v>125</v>
      </c>
      <c r="F8" s="49" t="s">
        <v>83</v>
      </c>
      <c r="G8" s="49" t="s">
        <v>127</v>
      </c>
      <c r="H8" s="49" t="s">
        <v>42</v>
      </c>
      <c r="I8" s="49" t="s">
        <v>1201</v>
      </c>
      <c r="J8" s="49" t="s">
        <v>129</v>
      </c>
      <c r="K8" s="49" t="s">
        <v>88</v>
      </c>
    </row>
    <row r="9" spans="2:11">
      <c r="B9" s="54"/>
      <c r="C9" s="54"/>
      <c r="D9" s="54"/>
      <c r="E9" s="54" t="s">
        <v>130</v>
      </c>
      <c r="F9" s="54"/>
      <c r="G9" s="54" t="s">
        <v>132</v>
      </c>
      <c r="H9" s="54" t="s">
        <v>133</v>
      </c>
      <c r="I9" s="54" t="s">
        <v>90</v>
      </c>
      <c r="J9" s="54" t="s">
        <v>89</v>
      </c>
      <c r="K9" s="54" t="s">
        <v>89</v>
      </c>
    </row>
    <row r="10" spans="2:11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1">
      <c r="B11" s="8" t="s">
        <v>1386</v>
      </c>
      <c r="C11" s="38"/>
      <c r="D11" s="8"/>
      <c r="E11" s="8"/>
      <c r="F11" s="8"/>
      <c r="G11" s="13">
        <f>G13</f>
        <v>-47750000</v>
      </c>
      <c r="H11" s="7"/>
      <c r="I11" s="13">
        <f>I13</f>
        <v>9.8199999999995722</v>
      </c>
      <c r="J11" s="14">
        <f>J13</f>
        <v>0.99999999999999978</v>
      </c>
      <c r="K11" s="14">
        <f>K13</f>
        <v>2.7004368141396553E-6</v>
      </c>
    </row>
    <row r="12" spans="2:11">
      <c r="B12" s="8"/>
      <c r="C12" s="38"/>
      <c r="D12" s="8"/>
      <c r="E12" s="8"/>
      <c r="F12" s="8"/>
      <c r="G12" s="13"/>
      <c r="H12" s="7"/>
      <c r="I12" s="13"/>
      <c r="J12" s="14"/>
      <c r="K12" s="14"/>
    </row>
    <row r="13" spans="2:11">
      <c r="B13" s="8" t="s">
        <v>1387</v>
      </c>
      <c r="C13" s="38"/>
      <c r="D13" s="8"/>
      <c r="E13" s="8"/>
      <c r="F13" s="8"/>
      <c r="G13" s="13">
        <f>G17</f>
        <v>-47750000</v>
      </c>
      <c r="H13" s="7"/>
      <c r="I13" s="13">
        <f>I17</f>
        <v>9.8199999999995722</v>
      </c>
      <c r="J13" s="14">
        <f>J17</f>
        <v>0.99999999999999978</v>
      </c>
      <c r="K13" s="14">
        <f>K17</f>
        <v>2.7004368141396553E-6</v>
      </c>
    </row>
    <row r="14" spans="2:11">
      <c r="B14" s="8"/>
      <c r="C14" s="38"/>
      <c r="D14" s="8"/>
      <c r="E14" s="8"/>
      <c r="F14" s="8"/>
      <c r="G14" s="13"/>
      <c r="H14" s="7"/>
      <c r="I14" s="13"/>
      <c r="J14" s="14"/>
      <c r="K14" s="14"/>
    </row>
    <row r="15" spans="2:11">
      <c r="B15" s="39" t="s">
        <v>1388</v>
      </c>
      <c r="C15" s="40"/>
      <c r="D15" s="39"/>
      <c r="E15" s="39"/>
      <c r="F15" s="39"/>
      <c r="G15" s="42">
        <v>0</v>
      </c>
      <c r="H15" s="7"/>
      <c r="I15" s="42">
        <v>0</v>
      </c>
      <c r="J15" s="41">
        <v>0</v>
      </c>
      <c r="K15" s="41">
        <v>0</v>
      </c>
    </row>
    <row r="16" spans="2:11">
      <c r="B16" s="39"/>
      <c r="C16" s="40"/>
      <c r="D16" s="39"/>
      <c r="E16" s="39"/>
      <c r="F16" s="39"/>
      <c r="G16" s="42"/>
      <c r="H16" s="7"/>
      <c r="I16" s="42"/>
      <c r="J16" s="41"/>
      <c r="K16" s="41"/>
    </row>
    <row r="17" spans="2:11">
      <c r="B17" s="39" t="s">
        <v>1389</v>
      </c>
      <c r="C17" s="40"/>
      <c r="D17" s="39"/>
      <c r="E17" s="39"/>
      <c r="F17" s="39"/>
      <c r="G17" s="42">
        <f>SUM(G18:G41)</f>
        <v>-47750000</v>
      </c>
      <c r="H17" s="42"/>
      <c r="I17" s="42">
        <f t="shared" ref="I17:K17" si="0">SUM(I18:I41)</f>
        <v>9.8199999999995722</v>
      </c>
      <c r="J17" s="41">
        <f t="shared" si="0"/>
        <v>0.99999999999999978</v>
      </c>
      <c r="K17" s="41">
        <f t="shared" si="0"/>
        <v>2.7004368141396553E-6</v>
      </c>
    </row>
    <row r="18" spans="2:11">
      <c r="B18" s="10" t="s">
        <v>1390</v>
      </c>
      <c r="C18" s="43">
        <v>38227286</v>
      </c>
      <c r="D18" s="10" t="s">
        <v>1160</v>
      </c>
      <c r="E18" s="10" t="s">
        <v>1391</v>
      </c>
      <c r="F18" s="10" t="s">
        <v>96</v>
      </c>
      <c r="G18" s="11">
        <v>5100000</v>
      </c>
      <c r="H18" s="11">
        <v>2.11</v>
      </c>
      <c r="I18" s="11">
        <v>107.8</v>
      </c>
      <c r="J18" s="12">
        <v>1.5800000000000002E-2</v>
      </c>
      <c r="K18" s="12">
        <f>I18/'סכום נכסי הקרן'!$C$42</f>
        <v>2.9644306371106472E-5</v>
      </c>
    </row>
    <row r="19" spans="2:11">
      <c r="B19" s="10" t="s">
        <v>1390</v>
      </c>
      <c r="C19" s="43">
        <v>378691315</v>
      </c>
      <c r="D19" s="10" t="s">
        <v>1160</v>
      </c>
      <c r="E19" s="10" t="s">
        <v>1392</v>
      </c>
      <c r="F19" s="10" t="s">
        <v>96</v>
      </c>
      <c r="G19" s="11">
        <v>-18566000</v>
      </c>
      <c r="H19" s="11">
        <v>7.63</v>
      </c>
      <c r="I19" s="11">
        <v>-1417.26</v>
      </c>
      <c r="J19" s="12">
        <v>0.20799999999999999</v>
      </c>
      <c r="K19" s="12">
        <f>I19/'סכום נכסי הקרן'!$C$42</f>
        <v>-3.8973738077471577E-4</v>
      </c>
    </row>
    <row r="20" spans="2:11">
      <c r="B20" s="10" t="s">
        <v>1390</v>
      </c>
      <c r="C20" s="43">
        <v>38227294</v>
      </c>
      <c r="D20" s="10" t="s">
        <v>1160</v>
      </c>
      <c r="E20" s="10" t="s">
        <v>1391</v>
      </c>
      <c r="F20" s="10" t="s">
        <v>96</v>
      </c>
      <c r="G20" s="11">
        <v>-5100000</v>
      </c>
      <c r="H20" s="11">
        <v>2.09</v>
      </c>
      <c r="I20" s="11">
        <v>-106.63</v>
      </c>
      <c r="J20" s="12">
        <v>1.5699999999999999E-2</v>
      </c>
      <c r="K20" s="12">
        <f>I20/'סכום נכסי הקרן'!$C$42</f>
        <v>-2.9322563899360696E-5</v>
      </c>
    </row>
    <row r="21" spans="2:11">
      <c r="B21" s="10" t="s">
        <v>1393</v>
      </c>
      <c r="C21" s="43">
        <v>183882018</v>
      </c>
      <c r="D21" s="10" t="s">
        <v>1160</v>
      </c>
      <c r="E21" s="10" t="s">
        <v>1392</v>
      </c>
      <c r="F21" s="10" t="s">
        <v>96</v>
      </c>
      <c r="G21" s="11">
        <v>-12500000</v>
      </c>
      <c r="H21" s="11">
        <v>7.43</v>
      </c>
      <c r="I21" s="11">
        <v>-929.21</v>
      </c>
      <c r="J21" s="12">
        <v>0.13639999999999999</v>
      </c>
      <c r="K21" s="12">
        <f>I21/'סכום נכסי הקרן'!$C$42</f>
        <v>-2.5552677108623236E-4</v>
      </c>
    </row>
    <row r="22" spans="2:11">
      <c r="B22" s="10" t="s">
        <v>1394</v>
      </c>
      <c r="C22" s="43">
        <v>6924153</v>
      </c>
      <c r="D22" s="10" t="s">
        <v>1160</v>
      </c>
      <c r="E22" s="10" t="s">
        <v>1395</v>
      </c>
      <c r="F22" s="10" t="s">
        <v>96</v>
      </c>
      <c r="G22" s="11">
        <v>34000</v>
      </c>
      <c r="H22" s="11">
        <v>7.0000000000000007E-2</v>
      </c>
      <c r="I22" s="11">
        <v>0.03</v>
      </c>
      <c r="J22" s="12">
        <v>0</v>
      </c>
      <c r="K22" s="12">
        <f>I22/'סכום נכסי הקרן'!$C$42</f>
        <v>8.2498069678403915E-9</v>
      </c>
    </row>
    <row r="23" spans="2:11">
      <c r="B23" s="10" t="s">
        <v>1394</v>
      </c>
      <c r="C23" s="43">
        <v>19810464</v>
      </c>
      <c r="D23" s="10" t="s">
        <v>1160</v>
      </c>
      <c r="E23" s="10" t="s">
        <v>1391</v>
      </c>
      <c r="F23" s="10" t="s">
        <v>96</v>
      </c>
      <c r="G23" s="11">
        <v>13500000</v>
      </c>
      <c r="H23" s="11">
        <v>2.12</v>
      </c>
      <c r="I23" s="11">
        <v>286.02999999999997</v>
      </c>
      <c r="J23" s="12">
        <v>4.2000000000000003E-2</v>
      </c>
      <c r="K23" s="12">
        <f>I23/'סכום נכסי הקרן'!$C$42</f>
        <v>7.8656409567046226E-5</v>
      </c>
    </row>
    <row r="24" spans="2:11">
      <c r="B24" s="10" t="s">
        <v>1394</v>
      </c>
      <c r="C24" s="43">
        <v>19614635</v>
      </c>
      <c r="D24" s="10" t="s">
        <v>1160</v>
      </c>
      <c r="E24" s="10" t="s">
        <v>1396</v>
      </c>
      <c r="F24" s="10" t="s">
        <v>96</v>
      </c>
      <c r="G24" s="11">
        <v>1500000</v>
      </c>
      <c r="H24" s="11">
        <v>3.63</v>
      </c>
      <c r="I24" s="11">
        <v>54.51</v>
      </c>
      <c r="J24" s="12">
        <v>8.0000000000000002E-3</v>
      </c>
      <c r="K24" s="12">
        <f>I24/'סכום נכסי הקרן'!$C$42</f>
        <v>1.498989926056599E-5</v>
      </c>
    </row>
    <row r="25" spans="2:11">
      <c r="B25" s="10" t="s">
        <v>1394</v>
      </c>
      <c r="C25" s="43">
        <v>18507962</v>
      </c>
      <c r="D25" s="10" t="s">
        <v>1160</v>
      </c>
      <c r="E25" s="10" t="s">
        <v>1397</v>
      </c>
      <c r="F25" s="10" t="s">
        <v>96</v>
      </c>
      <c r="G25" s="11">
        <v>-2500000</v>
      </c>
      <c r="H25" s="11">
        <v>3.55</v>
      </c>
      <c r="I25" s="11">
        <v>-88.84</v>
      </c>
      <c r="J25" s="12">
        <f>1.3%+0.0002</f>
        <v>1.3200000000000002E-2</v>
      </c>
      <c r="K25" s="12">
        <f>I25/'סכום נכסי הקרן'!$C$42</f>
        <v>-2.4430428367431348E-5</v>
      </c>
    </row>
    <row r="26" spans="2:11">
      <c r="B26" s="10" t="s">
        <v>1394</v>
      </c>
      <c r="C26" s="43">
        <v>6923809</v>
      </c>
      <c r="D26" s="10" t="s">
        <v>1160</v>
      </c>
      <c r="E26" s="10" t="s">
        <v>1395</v>
      </c>
      <c r="F26" s="10" t="s">
        <v>96</v>
      </c>
      <c r="G26" s="11">
        <v>16500000</v>
      </c>
      <c r="H26" s="11">
        <v>-0.1</v>
      </c>
      <c r="I26" s="11">
        <v>-15.88</v>
      </c>
      <c r="J26" s="12">
        <v>2.3E-3</v>
      </c>
      <c r="K26" s="12">
        <f>I26/'סכום נכסי הקרן'!$C$42</f>
        <v>-4.3668978216435139E-6</v>
      </c>
    </row>
    <row r="27" spans="2:11">
      <c r="B27" s="10" t="s">
        <v>1394</v>
      </c>
      <c r="C27" s="43">
        <v>6924429</v>
      </c>
      <c r="D27" s="10" t="s">
        <v>1160</v>
      </c>
      <c r="E27" s="10" t="s">
        <v>1395</v>
      </c>
      <c r="F27" s="10" t="s">
        <v>96</v>
      </c>
      <c r="G27" s="11">
        <v>32000</v>
      </c>
      <c r="H27" s="11">
        <v>7.0000000000000007E-2</v>
      </c>
      <c r="I27" s="11">
        <v>0.02</v>
      </c>
      <c r="J27" s="12">
        <v>0</v>
      </c>
      <c r="K27" s="12">
        <f>I27/'סכום נכסי הקרן'!$C$42</f>
        <v>5.4998713118935941E-9</v>
      </c>
    </row>
    <row r="28" spans="2:11">
      <c r="B28" s="10" t="s">
        <v>1394</v>
      </c>
      <c r="C28" s="43">
        <v>198104648</v>
      </c>
      <c r="D28" s="10" t="s">
        <v>1160</v>
      </c>
      <c r="E28" s="10" t="s">
        <v>1391</v>
      </c>
      <c r="F28" s="10" t="s">
        <v>96</v>
      </c>
      <c r="G28" s="11">
        <v>-13500000</v>
      </c>
      <c r="H28" s="11">
        <v>2.09</v>
      </c>
      <c r="I28" s="11">
        <v>-282.27</v>
      </c>
      <c r="J28" s="12">
        <v>4.1399999999999999E-2</v>
      </c>
      <c r="K28" s="12">
        <f>I28/'סכום נכסי הקרן'!$C$42</f>
        <v>-7.7622433760410236E-5</v>
      </c>
    </row>
    <row r="29" spans="2:11">
      <c r="B29" s="10" t="s">
        <v>1394</v>
      </c>
      <c r="C29" s="43">
        <v>37897048</v>
      </c>
      <c r="D29" s="10" t="s">
        <v>1160</v>
      </c>
      <c r="E29" s="10" t="s">
        <v>1397</v>
      </c>
      <c r="F29" s="10" t="s">
        <v>96</v>
      </c>
      <c r="G29" s="11">
        <v>-600000</v>
      </c>
      <c r="H29" s="11">
        <v>3.54</v>
      </c>
      <c r="I29" s="11">
        <v>-21.26</v>
      </c>
      <c r="J29" s="12">
        <v>3.0999999999999999E-3</v>
      </c>
      <c r="K29" s="12">
        <f>I29/'סכום נכסי הקרן'!$C$42</f>
        <v>-5.8463632045428909E-6</v>
      </c>
    </row>
    <row r="30" spans="2:11">
      <c r="B30" s="10" t="s">
        <v>1398</v>
      </c>
      <c r="C30" s="43">
        <v>3227725</v>
      </c>
      <c r="D30" s="10" t="s">
        <v>1160</v>
      </c>
      <c r="E30" s="10" t="s">
        <v>1397</v>
      </c>
      <c r="F30" s="10" t="s">
        <v>96</v>
      </c>
      <c r="G30" s="11">
        <v>-2500000</v>
      </c>
      <c r="H30" s="11">
        <v>3.71</v>
      </c>
      <c r="I30" s="11">
        <v>-92.84</v>
      </c>
      <c r="J30" s="12">
        <v>1.3599999999999999E-2</v>
      </c>
      <c r="K30" s="12">
        <f>I30/'סכום נכסי הקרן'!$C$42</f>
        <v>-2.5530402629810065E-5</v>
      </c>
    </row>
    <row r="31" spans="2:11">
      <c r="B31" s="10" t="s">
        <v>1399</v>
      </c>
      <c r="C31" s="43">
        <v>6924039</v>
      </c>
      <c r="D31" s="10" t="s">
        <v>1160</v>
      </c>
      <c r="E31" s="10" t="s">
        <v>1395</v>
      </c>
      <c r="F31" s="10" t="s">
        <v>96</v>
      </c>
      <c r="G31" s="11">
        <v>-800000</v>
      </c>
      <c r="H31" s="11">
        <v>-0.11</v>
      </c>
      <c r="I31" s="11">
        <v>0.87</v>
      </c>
      <c r="J31" s="12">
        <v>1E-4</v>
      </c>
      <c r="K31" s="12">
        <f>I31/'סכום נכסי הקרן'!$C$42</f>
        <v>2.3924440206737136E-7</v>
      </c>
    </row>
    <row r="32" spans="2:11">
      <c r="B32" s="10" t="s">
        <v>1399</v>
      </c>
      <c r="C32" s="43">
        <v>6923817</v>
      </c>
      <c r="D32" s="10" t="s">
        <v>1160</v>
      </c>
      <c r="E32" s="10" t="s">
        <v>1395</v>
      </c>
      <c r="F32" s="10" t="s">
        <v>96</v>
      </c>
      <c r="G32" s="11">
        <v>-16500000</v>
      </c>
      <c r="H32" s="11">
        <v>-0.11</v>
      </c>
      <c r="I32" s="11">
        <v>17.98</v>
      </c>
      <c r="J32" s="12">
        <v>2.5999999999999999E-3</v>
      </c>
      <c r="K32" s="12">
        <f>I32/'סכום נכסי הקרן'!$C$42</f>
        <v>4.9443843093923416E-6</v>
      </c>
    </row>
    <row r="33" spans="2:11">
      <c r="B33" s="10" t="s">
        <v>1400</v>
      </c>
      <c r="C33" s="43">
        <v>4790671</v>
      </c>
      <c r="D33" s="10" t="s">
        <v>1160</v>
      </c>
      <c r="E33" s="10" t="s">
        <v>1401</v>
      </c>
      <c r="F33" s="10" t="s">
        <v>96</v>
      </c>
      <c r="G33" s="11">
        <v>-900000</v>
      </c>
      <c r="H33" s="11">
        <v>-10.26</v>
      </c>
      <c r="I33" s="11">
        <v>92.35</v>
      </c>
      <c r="J33" s="12">
        <v>1.3599999999999999E-2</v>
      </c>
      <c r="K33" s="12">
        <f>I33/'סכום נכסי הקרן'!$C$42</f>
        <v>2.539565578266867E-5</v>
      </c>
    </row>
    <row r="34" spans="2:11">
      <c r="B34" s="10" t="s">
        <v>1400</v>
      </c>
      <c r="C34" s="43">
        <v>29195617</v>
      </c>
      <c r="D34" s="10" t="s">
        <v>1160</v>
      </c>
      <c r="E34" s="10" t="s">
        <v>1392</v>
      </c>
      <c r="F34" s="10" t="s">
        <v>96</v>
      </c>
      <c r="G34" s="11">
        <v>-12100000</v>
      </c>
      <c r="H34" s="11">
        <v>-20.97</v>
      </c>
      <c r="I34" s="11">
        <f>2537.52-296.94</f>
        <v>2240.58</v>
      </c>
      <c r="J34" s="12">
        <v>0.37240000000000001</v>
      </c>
      <c r="K34" s="12">
        <f>I34/'סכום נכסי הקרן'!$C$42</f>
        <v>6.1614508320012747E-4</v>
      </c>
    </row>
    <row r="35" spans="2:11">
      <c r="B35" s="10" t="s">
        <v>1400</v>
      </c>
      <c r="C35" s="43">
        <v>981019128</v>
      </c>
      <c r="D35" s="10" t="s">
        <v>1160</v>
      </c>
      <c r="E35" s="10" t="s">
        <v>1391</v>
      </c>
      <c r="F35" s="10" t="s">
        <v>96</v>
      </c>
      <c r="G35" s="11">
        <v>-9350000</v>
      </c>
      <c r="H35" s="11">
        <v>2.4</v>
      </c>
      <c r="I35" s="11">
        <v>-224.01</v>
      </c>
      <c r="J35" s="12">
        <v>3.2899999999999999E-2</v>
      </c>
      <c r="K35" s="12">
        <f>I35/'סכום נכסי הקרן'!$C$42</f>
        <v>-6.16013086288642E-5</v>
      </c>
    </row>
    <row r="36" spans="2:11">
      <c r="B36" s="10" t="s">
        <v>1400</v>
      </c>
      <c r="C36" s="43">
        <v>18709246</v>
      </c>
      <c r="D36" s="10" t="s">
        <v>1160</v>
      </c>
      <c r="E36" s="10" t="s">
        <v>1402</v>
      </c>
      <c r="F36" s="10" t="s">
        <v>96</v>
      </c>
      <c r="G36" s="11">
        <v>-1050000</v>
      </c>
      <c r="H36" s="11">
        <v>-17.89</v>
      </c>
      <c r="I36" s="11">
        <v>187.86</v>
      </c>
      <c r="J36" s="12">
        <v>2.76E-2</v>
      </c>
      <c r="K36" s="12">
        <f>I36/'סכום נכסי הקרן'!$C$42</f>
        <v>5.1660291232616538E-5</v>
      </c>
    </row>
    <row r="37" spans="2:11">
      <c r="B37" s="10" t="s">
        <v>1400</v>
      </c>
      <c r="C37" s="43">
        <v>6686646</v>
      </c>
      <c r="D37" s="10" t="s">
        <v>1160</v>
      </c>
      <c r="E37" s="10" t="s">
        <v>1403</v>
      </c>
      <c r="F37" s="10" t="s">
        <v>96</v>
      </c>
      <c r="G37" s="11">
        <v>1200000</v>
      </c>
      <c r="H37" s="11">
        <v>2.13</v>
      </c>
      <c r="I37" s="11">
        <v>25.54</v>
      </c>
      <c r="J37" s="12">
        <v>3.7000000000000002E-3</v>
      </c>
      <c r="K37" s="12">
        <f>I37/'סכום נכסי הקרן'!$C$42</f>
        <v>7.0233356652881194E-6</v>
      </c>
    </row>
    <row r="38" spans="2:11">
      <c r="B38" s="10" t="s">
        <v>1400</v>
      </c>
      <c r="C38" s="43">
        <v>19348713</v>
      </c>
      <c r="D38" s="10" t="s">
        <v>1160</v>
      </c>
      <c r="E38" s="10" t="s">
        <v>1404</v>
      </c>
      <c r="F38" s="10" t="s">
        <v>96</v>
      </c>
      <c r="G38" s="11">
        <v>1000000</v>
      </c>
      <c r="H38" s="11">
        <v>-6.5</v>
      </c>
      <c r="I38" s="11">
        <v>-65.010000000000005</v>
      </c>
      <c r="J38" s="12">
        <v>9.4999999999999998E-3</v>
      </c>
      <c r="K38" s="12">
        <f>I38/'סכום נכסי הקרן'!$C$42</f>
        <v>-1.7877331699310131E-5</v>
      </c>
    </row>
    <row r="39" spans="2:11">
      <c r="B39" s="10" t="s">
        <v>1400</v>
      </c>
      <c r="C39" s="43">
        <v>6923916</v>
      </c>
      <c r="D39" s="10" t="s">
        <v>1160</v>
      </c>
      <c r="E39" s="10" t="s">
        <v>1395</v>
      </c>
      <c r="F39" s="10" t="s">
        <v>96</v>
      </c>
      <c r="G39" s="11">
        <v>2500000</v>
      </c>
      <c r="H39" s="11">
        <v>0.53</v>
      </c>
      <c r="I39" s="11">
        <v>13.21</v>
      </c>
      <c r="J39" s="12">
        <v>1.9E-3</v>
      </c>
      <c r="K39" s="12">
        <f>I39/'סכום נכסי הקרן'!$C$42</f>
        <v>3.6326650015057193E-6</v>
      </c>
    </row>
    <row r="40" spans="2:11">
      <c r="B40" s="10" t="s">
        <v>1400</v>
      </c>
      <c r="C40" s="43">
        <v>19810191</v>
      </c>
      <c r="D40" s="10" t="s">
        <v>1160</v>
      </c>
      <c r="E40" s="10" t="s">
        <v>1391</v>
      </c>
      <c r="F40" s="10" t="s">
        <v>96</v>
      </c>
      <c r="G40" s="11">
        <v>9350000</v>
      </c>
      <c r="H40" s="11">
        <v>2.5299999999999998</v>
      </c>
      <c r="I40" s="11">
        <v>236.4</v>
      </c>
      <c r="J40" s="12">
        <v>3.4700000000000002E-2</v>
      </c>
      <c r="K40" s="12">
        <f>I40/'סכום נכסי הקרן'!$C$42</f>
        <v>6.500847890658229E-5</v>
      </c>
    </row>
    <row r="41" spans="2:11">
      <c r="B41" s="10" t="s">
        <v>1400</v>
      </c>
      <c r="C41" s="43">
        <v>6923924</v>
      </c>
      <c r="D41" s="10" t="s">
        <v>1160</v>
      </c>
      <c r="E41" s="10" t="s">
        <v>1395</v>
      </c>
      <c r="F41" s="10" t="s">
        <v>96</v>
      </c>
      <c r="G41" s="11">
        <v>-2500000</v>
      </c>
      <c r="H41" s="11">
        <v>0.41</v>
      </c>
      <c r="I41" s="11">
        <v>-10.15</v>
      </c>
      <c r="J41" s="12">
        <v>1.5E-3</v>
      </c>
      <c r="K41" s="12">
        <f>I41/'סכום נכסי הקרן'!$C$42</f>
        <v>-2.7911846907859994E-6</v>
      </c>
    </row>
    <row r="42" spans="2:11">
      <c r="B42" s="10"/>
      <c r="C42" s="43"/>
      <c r="D42" s="10"/>
      <c r="E42" s="10"/>
      <c r="F42" s="10"/>
      <c r="G42" s="11"/>
      <c r="H42" s="11"/>
      <c r="I42" s="11"/>
      <c r="J42" s="12"/>
      <c r="K42" s="12"/>
    </row>
    <row r="43" spans="2:11">
      <c r="B43" s="39" t="s">
        <v>1405</v>
      </c>
      <c r="C43" s="40"/>
      <c r="D43" s="39"/>
      <c r="E43" s="39"/>
      <c r="F43" s="39"/>
      <c r="G43" s="42">
        <v>0</v>
      </c>
      <c r="H43" s="7"/>
      <c r="I43" s="42">
        <v>0</v>
      </c>
      <c r="J43" s="41">
        <v>0</v>
      </c>
      <c r="K43" s="41">
        <v>0</v>
      </c>
    </row>
    <row r="44" spans="2:11">
      <c r="B44" s="39" t="s">
        <v>1406</v>
      </c>
      <c r="C44" s="40"/>
      <c r="D44" s="39"/>
      <c r="E44" s="39"/>
      <c r="F44" s="39"/>
      <c r="G44" s="42">
        <v>0</v>
      </c>
      <c r="H44" s="7"/>
      <c r="I44" s="42">
        <v>0</v>
      </c>
      <c r="J44" s="41">
        <v>0</v>
      </c>
      <c r="K44" s="41">
        <v>0</v>
      </c>
    </row>
    <row r="45" spans="2:11">
      <c r="B45" s="39" t="s">
        <v>1407</v>
      </c>
      <c r="C45" s="40"/>
      <c r="D45" s="39"/>
      <c r="E45" s="39"/>
      <c r="F45" s="39"/>
      <c r="G45" s="42">
        <v>0</v>
      </c>
      <c r="H45" s="7"/>
      <c r="I45" s="42">
        <v>0</v>
      </c>
      <c r="J45" s="41">
        <v>0</v>
      </c>
      <c r="K45" s="41">
        <v>0</v>
      </c>
    </row>
    <row r="46" spans="2:11">
      <c r="B46" s="8" t="s">
        <v>1408</v>
      </c>
      <c r="C46" s="38"/>
      <c r="D46" s="8"/>
      <c r="E46" s="8"/>
      <c r="F46" s="8"/>
      <c r="G46" s="13">
        <v>0</v>
      </c>
      <c r="H46" s="7"/>
      <c r="I46" s="13">
        <v>0</v>
      </c>
      <c r="J46" s="14">
        <v>0</v>
      </c>
      <c r="K46" s="14">
        <v>0</v>
      </c>
    </row>
    <row r="47" spans="2:11">
      <c r="B47" s="39" t="s">
        <v>1388</v>
      </c>
      <c r="C47" s="40"/>
      <c r="D47" s="39"/>
      <c r="E47" s="39"/>
      <c r="F47" s="39"/>
      <c r="G47" s="42">
        <v>0</v>
      </c>
      <c r="H47" s="7"/>
      <c r="I47" s="42">
        <v>0</v>
      </c>
      <c r="J47" s="41">
        <v>0</v>
      </c>
      <c r="K47" s="41">
        <v>0</v>
      </c>
    </row>
    <row r="48" spans="2:11">
      <c r="B48" s="39" t="s">
        <v>1409</v>
      </c>
      <c r="C48" s="40"/>
      <c r="D48" s="39"/>
      <c r="E48" s="39"/>
      <c r="F48" s="39"/>
      <c r="G48" s="42">
        <v>0</v>
      </c>
      <c r="H48" s="7"/>
      <c r="I48" s="42">
        <v>0</v>
      </c>
      <c r="J48" s="41">
        <v>0</v>
      </c>
      <c r="K48" s="41">
        <v>0</v>
      </c>
    </row>
    <row r="49" spans="2:11">
      <c r="B49" s="39" t="s">
        <v>1406</v>
      </c>
      <c r="C49" s="40"/>
      <c r="D49" s="39"/>
      <c r="E49" s="39"/>
      <c r="F49" s="39"/>
      <c r="G49" s="42">
        <v>0</v>
      </c>
      <c r="H49" s="7"/>
      <c r="I49" s="42">
        <v>0</v>
      </c>
      <c r="J49" s="41">
        <v>0</v>
      </c>
      <c r="K49" s="41">
        <v>0</v>
      </c>
    </row>
    <row r="50" spans="2:11">
      <c r="B50" s="39" t="s">
        <v>1407</v>
      </c>
      <c r="C50" s="40"/>
      <c r="D50" s="39"/>
      <c r="E50" s="39"/>
      <c r="F50" s="39"/>
      <c r="G50" s="42">
        <v>0</v>
      </c>
      <c r="H50" s="7"/>
      <c r="I50" s="42">
        <v>0</v>
      </c>
      <c r="J50" s="41">
        <v>0</v>
      </c>
      <c r="K50" s="41">
        <v>0</v>
      </c>
    </row>
    <row r="53" spans="2:11">
      <c r="B53" s="3" t="s">
        <v>121</v>
      </c>
      <c r="C53" s="5"/>
      <c r="D53" s="3"/>
      <c r="E53" s="3"/>
      <c r="F53" s="3"/>
    </row>
    <row r="57" spans="2:11">
      <c r="B57" s="2" t="s">
        <v>76</v>
      </c>
    </row>
  </sheetData>
  <mergeCells count="1">
    <mergeCell ref="B6:K6"/>
  </mergeCells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topLeftCell="G1" workbookViewId="0">
      <selection activeCell="B6" sqref="B6:K9"/>
    </sheetView>
  </sheetViews>
  <sheetFormatPr defaultColWidth="9.140625" defaultRowHeight="12.75"/>
  <cols>
    <col min="2" max="2" width="62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7.7109375" customWidth="1"/>
    <col min="17" max="17" width="20.7109375" customWidth="1"/>
  </cols>
  <sheetData>
    <row r="1" spans="2:17">
      <c r="B1" s="15" t="s">
        <v>1490</v>
      </c>
    </row>
    <row r="2" spans="2:17">
      <c r="B2" s="15" t="s">
        <v>1489</v>
      </c>
    </row>
    <row r="3" spans="2:17">
      <c r="B3" s="15" t="s">
        <v>2</v>
      </c>
    </row>
    <row r="4" spans="2:17">
      <c r="B4" s="15" t="s">
        <v>3</v>
      </c>
    </row>
    <row r="6" spans="2:17">
      <c r="B6" s="113" t="s">
        <v>1200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7" spans="2:17">
      <c r="B7" s="49" t="s">
        <v>1410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2:17">
      <c r="B8" s="49" t="s">
        <v>78</v>
      </c>
      <c r="C8" s="49" t="s">
        <v>79</v>
      </c>
      <c r="D8" s="49" t="s">
        <v>1186</v>
      </c>
      <c r="E8" s="49" t="s">
        <v>81</v>
      </c>
      <c r="F8" s="49" t="s">
        <v>82</v>
      </c>
      <c r="G8" s="49" t="s">
        <v>125</v>
      </c>
      <c r="H8" s="49" t="s">
        <v>126</v>
      </c>
      <c r="I8" s="49" t="s">
        <v>83</v>
      </c>
      <c r="J8" s="49" t="s">
        <v>84</v>
      </c>
      <c r="K8" s="49" t="s">
        <v>85</v>
      </c>
      <c r="L8" s="49" t="s">
        <v>127</v>
      </c>
      <c r="M8" s="49" t="s">
        <v>42</v>
      </c>
      <c r="N8" s="49" t="s">
        <v>1201</v>
      </c>
      <c r="O8" s="49" t="s">
        <v>128</v>
      </c>
      <c r="P8" s="49" t="s">
        <v>129</v>
      </c>
      <c r="Q8" s="49" t="s">
        <v>88</v>
      </c>
    </row>
    <row r="9" spans="2:17">
      <c r="B9" s="54"/>
      <c r="C9" s="54"/>
      <c r="D9" s="54"/>
      <c r="E9" s="54"/>
      <c r="F9" s="54"/>
      <c r="G9" s="54" t="s">
        <v>130</v>
      </c>
      <c r="H9" s="54" t="s">
        <v>131</v>
      </c>
      <c r="I9" s="54"/>
      <c r="J9" s="54" t="s">
        <v>89</v>
      </c>
      <c r="K9" s="54" t="s">
        <v>89</v>
      </c>
      <c r="L9" s="54" t="s">
        <v>132</v>
      </c>
      <c r="M9" s="54" t="s">
        <v>133</v>
      </c>
      <c r="N9" s="54" t="s">
        <v>90</v>
      </c>
      <c r="O9" s="54" t="s">
        <v>89</v>
      </c>
      <c r="P9" s="54" t="s">
        <v>89</v>
      </c>
      <c r="Q9" s="54" t="s">
        <v>89</v>
      </c>
    </row>
    <row r="10" spans="2:17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>
      <c r="B11" s="8" t="s">
        <v>1411</v>
      </c>
      <c r="C11" s="38"/>
      <c r="D11" s="8"/>
      <c r="E11" s="8"/>
      <c r="F11" s="8"/>
      <c r="G11" s="8"/>
      <c r="H11" s="38"/>
      <c r="I11" s="8"/>
      <c r="J11" s="7"/>
      <c r="K11" s="14">
        <v>0.72330000000000005</v>
      </c>
      <c r="L11" s="13">
        <v>285611.88</v>
      </c>
      <c r="M11" s="7"/>
      <c r="N11" s="13">
        <v>46.61</v>
      </c>
      <c r="O11" s="7"/>
      <c r="P11" s="14">
        <v>1</v>
      </c>
      <c r="Q11" s="14">
        <v>0</v>
      </c>
    </row>
    <row r="12" spans="2:17">
      <c r="B12" s="8"/>
      <c r="C12" s="38"/>
      <c r="D12" s="8"/>
      <c r="E12" s="8"/>
      <c r="F12" s="8"/>
      <c r="G12" s="8"/>
      <c r="H12" s="38"/>
      <c r="I12" s="8"/>
      <c r="J12" s="7"/>
      <c r="K12" s="14"/>
      <c r="L12" s="13"/>
      <c r="M12" s="7"/>
      <c r="N12" s="13"/>
      <c r="O12" s="7"/>
      <c r="P12" s="14"/>
      <c r="Q12" s="14"/>
    </row>
    <row r="13" spans="2:17">
      <c r="B13" s="8" t="s">
        <v>1412</v>
      </c>
      <c r="C13" s="38"/>
      <c r="D13" s="8"/>
      <c r="E13" s="8"/>
      <c r="F13" s="8"/>
      <c r="G13" s="8"/>
      <c r="H13" s="38"/>
      <c r="I13" s="8"/>
      <c r="J13" s="7"/>
      <c r="K13" s="14">
        <v>0.72330000000000005</v>
      </c>
      <c r="L13" s="13">
        <f>L16</f>
        <v>285611.88</v>
      </c>
      <c r="M13" s="13"/>
      <c r="N13" s="13">
        <f t="shared" ref="N13" si="0">N16</f>
        <v>46.61</v>
      </c>
      <c r="O13" s="7"/>
      <c r="P13" s="14">
        <f>P16</f>
        <v>1</v>
      </c>
      <c r="Q13" s="14">
        <f>Q16</f>
        <v>1.2817450092368022E-5</v>
      </c>
    </row>
    <row r="14" spans="2:17">
      <c r="B14" s="8"/>
      <c r="C14" s="38"/>
      <c r="D14" s="8"/>
      <c r="E14" s="8"/>
      <c r="F14" s="8"/>
      <c r="G14" s="8"/>
      <c r="H14" s="38"/>
      <c r="I14" s="8"/>
      <c r="J14" s="7"/>
      <c r="K14" s="14"/>
      <c r="L14" s="13"/>
      <c r="M14" s="7"/>
      <c r="N14" s="13"/>
      <c r="O14" s="7"/>
      <c r="P14" s="14"/>
      <c r="Q14" s="14"/>
    </row>
    <row r="15" spans="2:17">
      <c r="B15" s="39" t="s">
        <v>1189</v>
      </c>
      <c r="C15" s="40"/>
      <c r="D15" s="39"/>
      <c r="E15" s="39"/>
      <c r="F15" s="39"/>
      <c r="G15" s="39"/>
      <c r="H15" s="7"/>
      <c r="I15" s="39"/>
      <c r="J15" s="7"/>
      <c r="K15" s="7"/>
      <c r="L15" s="42">
        <v>0</v>
      </c>
      <c r="M15" s="7"/>
      <c r="N15" s="42">
        <v>0</v>
      </c>
      <c r="O15" s="7"/>
      <c r="P15" s="41">
        <v>0</v>
      </c>
      <c r="Q15" s="41">
        <v>0</v>
      </c>
    </row>
    <row r="16" spans="2:17">
      <c r="B16" s="39" t="s">
        <v>1194</v>
      </c>
      <c r="C16" s="40"/>
      <c r="D16" s="39"/>
      <c r="E16" s="39"/>
      <c r="F16" s="39"/>
      <c r="G16" s="39"/>
      <c r="H16" s="40"/>
      <c r="I16" s="39"/>
      <c r="J16" s="7"/>
      <c r="K16" s="41">
        <v>0.72330000000000005</v>
      </c>
      <c r="L16" s="42">
        <f>L17</f>
        <v>285611.88</v>
      </c>
      <c r="M16" s="7"/>
      <c r="N16" s="42">
        <f>N17</f>
        <v>46.61</v>
      </c>
      <c r="O16" s="7"/>
      <c r="P16" s="41">
        <f>P17</f>
        <v>1</v>
      </c>
      <c r="Q16" s="41">
        <f>Q17</f>
        <v>1.2817450092368022E-5</v>
      </c>
    </row>
    <row r="17" spans="2:17">
      <c r="B17" s="10" t="s">
        <v>1413</v>
      </c>
      <c r="C17" s="43">
        <v>1127273</v>
      </c>
      <c r="D17" s="10" t="s">
        <v>1133</v>
      </c>
      <c r="E17" s="10"/>
      <c r="F17" s="10"/>
      <c r="G17" s="10" t="s">
        <v>1414</v>
      </c>
      <c r="H17" s="43">
        <v>3.59</v>
      </c>
      <c r="I17" s="10" t="s">
        <v>96</v>
      </c>
      <c r="J17" s="44">
        <v>0.02</v>
      </c>
      <c r="K17" s="12">
        <v>0.72330000000000005</v>
      </c>
      <c r="L17" s="11">
        <v>285611.88</v>
      </c>
      <c r="M17" s="11">
        <v>16.32</v>
      </c>
      <c r="N17" s="11">
        <v>46.61</v>
      </c>
      <c r="O17" s="12">
        <v>3.0999999999999999E-3</v>
      </c>
      <c r="P17" s="12">
        <v>1</v>
      </c>
      <c r="Q17" s="12">
        <f>N17/'סכום נכסי הקרן'!$C$42</f>
        <v>1.2817450092368022E-5</v>
      </c>
    </row>
    <row r="18" spans="2:17">
      <c r="B18" s="39" t="s">
        <v>1195</v>
      </c>
      <c r="C18" s="40"/>
      <c r="D18" s="39"/>
      <c r="E18" s="39"/>
      <c r="F18" s="39"/>
      <c r="G18" s="39"/>
      <c r="H18" s="7"/>
      <c r="I18" s="39"/>
      <c r="J18" s="7"/>
      <c r="K18" s="7"/>
      <c r="L18" s="42">
        <v>0</v>
      </c>
      <c r="M18" s="7"/>
      <c r="N18" s="42">
        <v>0</v>
      </c>
      <c r="O18" s="7"/>
      <c r="P18" s="41">
        <v>0</v>
      </c>
      <c r="Q18" s="41">
        <v>0</v>
      </c>
    </row>
    <row r="19" spans="2:17">
      <c r="B19" s="39" t="s">
        <v>1196</v>
      </c>
      <c r="C19" s="40"/>
      <c r="D19" s="39"/>
      <c r="E19" s="39"/>
      <c r="F19" s="39"/>
      <c r="G19" s="39"/>
      <c r="H19" s="7"/>
      <c r="I19" s="39"/>
      <c r="J19" s="7"/>
      <c r="K19" s="7"/>
      <c r="L19" s="42">
        <v>0</v>
      </c>
      <c r="M19" s="7"/>
      <c r="N19" s="42">
        <v>0</v>
      </c>
      <c r="O19" s="7"/>
      <c r="P19" s="41">
        <v>0</v>
      </c>
      <c r="Q19" s="41">
        <v>0</v>
      </c>
    </row>
    <row r="20" spans="2:17">
      <c r="B20" s="39" t="s">
        <v>1197</v>
      </c>
      <c r="C20" s="40"/>
      <c r="D20" s="39"/>
      <c r="E20" s="39"/>
      <c r="F20" s="39"/>
      <c r="G20" s="39"/>
      <c r="H20" s="7"/>
      <c r="I20" s="39"/>
      <c r="J20" s="7"/>
      <c r="K20" s="7"/>
      <c r="L20" s="42">
        <v>0</v>
      </c>
      <c r="M20" s="7"/>
      <c r="N20" s="42">
        <v>0</v>
      </c>
      <c r="O20" s="7"/>
      <c r="P20" s="41">
        <v>0</v>
      </c>
      <c r="Q20" s="41">
        <v>0</v>
      </c>
    </row>
    <row r="21" spans="2:17">
      <c r="B21" s="39" t="s">
        <v>1198</v>
      </c>
      <c r="C21" s="40"/>
      <c r="D21" s="39"/>
      <c r="E21" s="39"/>
      <c r="F21" s="39"/>
      <c r="G21" s="39"/>
      <c r="H21" s="7"/>
      <c r="I21" s="39"/>
      <c r="J21" s="7"/>
      <c r="K21" s="7"/>
      <c r="L21" s="42">
        <v>0</v>
      </c>
      <c r="M21" s="7"/>
      <c r="N21" s="42">
        <v>0</v>
      </c>
      <c r="O21" s="7"/>
      <c r="P21" s="41">
        <v>0</v>
      </c>
      <c r="Q21" s="41">
        <v>0</v>
      </c>
    </row>
    <row r="22" spans="2:17">
      <c r="B22" s="8" t="s">
        <v>1415</v>
      </c>
      <c r="C22" s="38"/>
      <c r="D22" s="8"/>
      <c r="E22" s="8"/>
      <c r="F22" s="8"/>
      <c r="G22" s="8"/>
      <c r="H22" s="7"/>
      <c r="I22" s="8"/>
      <c r="J22" s="7"/>
      <c r="K22" s="7"/>
      <c r="L22" s="13">
        <v>0</v>
      </c>
      <c r="M22" s="7"/>
      <c r="N22" s="13">
        <v>0</v>
      </c>
      <c r="O22" s="7"/>
      <c r="P22" s="14">
        <v>0</v>
      </c>
      <c r="Q22" s="14">
        <v>0</v>
      </c>
    </row>
    <row r="23" spans="2:17">
      <c r="B23" s="39" t="s">
        <v>1189</v>
      </c>
      <c r="C23" s="40"/>
      <c r="D23" s="39"/>
      <c r="E23" s="39"/>
      <c r="F23" s="39"/>
      <c r="G23" s="39"/>
      <c r="H23" s="7"/>
      <c r="I23" s="39"/>
      <c r="J23" s="7"/>
      <c r="K23" s="7"/>
      <c r="L23" s="42">
        <v>0</v>
      </c>
      <c r="M23" s="7"/>
      <c r="N23" s="42">
        <v>0</v>
      </c>
      <c r="O23" s="7"/>
      <c r="P23" s="41">
        <v>0</v>
      </c>
      <c r="Q23" s="41">
        <v>0</v>
      </c>
    </row>
    <row r="24" spans="2:17">
      <c r="B24" s="39" t="s">
        <v>1194</v>
      </c>
      <c r="C24" s="40"/>
      <c r="D24" s="39"/>
      <c r="E24" s="39"/>
      <c r="F24" s="39"/>
      <c r="G24" s="39"/>
      <c r="H24" s="7"/>
      <c r="I24" s="39"/>
      <c r="J24" s="7"/>
      <c r="K24" s="7"/>
      <c r="L24" s="42">
        <v>0</v>
      </c>
      <c r="M24" s="7"/>
      <c r="N24" s="42">
        <v>0</v>
      </c>
      <c r="O24" s="7"/>
      <c r="P24" s="41">
        <v>0</v>
      </c>
      <c r="Q24" s="41">
        <v>0</v>
      </c>
    </row>
    <row r="25" spans="2:17">
      <c r="B25" s="39" t="s">
        <v>1195</v>
      </c>
      <c r="C25" s="40"/>
      <c r="D25" s="39"/>
      <c r="E25" s="39"/>
      <c r="F25" s="39"/>
      <c r="G25" s="39"/>
      <c r="H25" s="7"/>
      <c r="I25" s="39"/>
      <c r="J25" s="7"/>
      <c r="K25" s="7"/>
      <c r="L25" s="42">
        <v>0</v>
      </c>
      <c r="M25" s="7"/>
      <c r="N25" s="42">
        <v>0</v>
      </c>
      <c r="O25" s="7"/>
      <c r="P25" s="41">
        <v>0</v>
      </c>
      <c r="Q25" s="41">
        <v>0</v>
      </c>
    </row>
    <row r="26" spans="2:17">
      <c r="B26" s="39" t="s">
        <v>1196</v>
      </c>
      <c r="C26" s="40"/>
      <c r="D26" s="39"/>
      <c r="E26" s="39"/>
      <c r="F26" s="39"/>
      <c r="G26" s="39"/>
      <c r="H26" s="7"/>
      <c r="I26" s="39"/>
      <c r="J26" s="7"/>
      <c r="K26" s="7"/>
      <c r="L26" s="42">
        <v>0</v>
      </c>
      <c r="M26" s="7"/>
      <c r="N26" s="42">
        <v>0</v>
      </c>
      <c r="O26" s="7"/>
      <c r="P26" s="41">
        <v>0</v>
      </c>
      <c r="Q26" s="41">
        <v>0</v>
      </c>
    </row>
    <row r="27" spans="2:17">
      <c r="B27" s="39" t="s">
        <v>1197</v>
      </c>
      <c r="C27" s="40"/>
      <c r="D27" s="39"/>
      <c r="E27" s="39"/>
      <c r="F27" s="39"/>
      <c r="G27" s="39"/>
      <c r="H27" s="7"/>
      <c r="I27" s="39"/>
      <c r="J27" s="7"/>
      <c r="K27" s="7"/>
      <c r="L27" s="42">
        <v>0</v>
      </c>
      <c r="M27" s="7"/>
      <c r="N27" s="42">
        <v>0</v>
      </c>
      <c r="O27" s="7"/>
      <c r="P27" s="41">
        <v>0</v>
      </c>
      <c r="Q27" s="41">
        <v>0</v>
      </c>
    </row>
    <row r="28" spans="2:17">
      <c r="B28" s="39" t="s">
        <v>1198</v>
      </c>
      <c r="C28" s="40"/>
      <c r="D28" s="39"/>
      <c r="E28" s="39"/>
      <c r="F28" s="39"/>
      <c r="G28" s="39"/>
      <c r="H28" s="7"/>
      <c r="I28" s="39"/>
      <c r="J28" s="7"/>
      <c r="K28" s="7"/>
      <c r="L28" s="42">
        <v>0</v>
      </c>
      <c r="M28" s="7"/>
      <c r="N28" s="42">
        <v>0</v>
      </c>
      <c r="O28" s="7"/>
      <c r="P28" s="41">
        <v>0</v>
      </c>
      <c r="Q28" s="41">
        <v>0</v>
      </c>
    </row>
    <row r="31" spans="2:17">
      <c r="B31" s="3" t="s">
        <v>121</v>
      </c>
      <c r="C31" s="5"/>
      <c r="D31" s="3"/>
      <c r="E31" s="3"/>
      <c r="F31" s="3"/>
      <c r="G31" s="3"/>
      <c r="I31" s="3"/>
    </row>
    <row r="35" spans="2:2">
      <c r="B35" s="2" t="s">
        <v>76</v>
      </c>
    </row>
  </sheetData>
  <mergeCells count="2">
    <mergeCell ref="B6:K6"/>
    <mergeCell ref="L6:Q6"/>
  </mergeCells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rightToLeft="1" topLeftCell="D7" workbookViewId="0">
      <selection activeCell="M24" sqref="M24"/>
    </sheetView>
  </sheetViews>
  <sheetFormatPr defaultColWidth="9.140625" defaultRowHeight="12.75"/>
  <cols>
    <col min="1" max="1" width="0.5703125" customWidth="1"/>
    <col min="2" max="2" width="57.7109375" customWidth="1"/>
    <col min="3" max="3" width="20.7109375" customWidth="1"/>
    <col min="4" max="4" width="12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1" width="16.7109375" customWidth="1"/>
    <col min="12" max="12" width="14.7109375" customWidth="1"/>
    <col min="13" max="13" width="12.7109375" customWidth="1"/>
    <col min="14" max="14" width="27.7109375" customWidth="1"/>
    <col min="15" max="15" width="20.7109375" customWidth="1"/>
  </cols>
  <sheetData>
    <row r="1" spans="2:15">
      <c r="B1" s="15" t="s">
        <v>1490</v>
      </c>
    </row>
    <row r="2" spans="2:15">
      <c r="B2" s="15" t="s">
        <v>1489</v>
      </c>
    </row>
    <row r="3" spans="2:15">
      <c r="B3" s="15" t="s">
        <v>2</v>
      </c>
    </row>
    <row r="4" spans="2:15">
      <c r="B4" s="15" t="s">
        <v>3</v>
      </c>
      <c r="M4" s="118"/>
    </row>
    <row r="6" spans="2:15">
      <c r="B6" s="113" t="s">
        <v>1416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2:15">
      <c r="B7" s="49" t="s">
        <v>78</v>
      </c>
      <c r="C7" s="49" t="s">
        <v>1417</v>
      </c>
      <c r="D7" s="49" t="s">
        <v>79</v>
      </c>
      <c r="E7" s="49" t="s">
        <v>81</v>
      </c>
      <c r="F7" s="49" t="s">
        <v>82</v>
      </c>
      <c r="G7" s="49" t="s">
        <v>126</v>
      </c>
      <c r="H7" s="49" t="s">
        <v>83</v>
      </c>
      <c r="I7" s="49" t="s">
        <v>84</v>
      </c>
      <c r="J7" s="49" t="s">
        <v>85</v>
      </c>
      <c r="K7" s="49" t="s">
        <v>127</v>
      </c>
      <c r="L7" s="49" t="s">
        <v>42</v>
      </c>
      <c r="M7" s="49" t="s">
        <v>1201</v>
      </c>
      <c r="N7" s="49" t="s">
        <v>129</v>
      </c>
      <c r="O7" s="49" t="s">
        <v>88</v>
      </c>
    </row>
    <row r="8" spans="2:15">
      <c r="B8" s="49"/>
      <c r="C8" s="49"/>
      <c r="D8" s="49"/>
      <c r="E8" s="49"/>
      <c r="F8" s="49"/>
      <c r="G8" s="49" t="s">
        <v>131</v>
      </c>
      <c r="H8" s="49"/>
      <c r="I8" s="49" t="s">
        <v>89</v>
      </c>
      <c r="J8" s="49" t="s">
        <v>89</v>
      </c>
      <c r="K8" s="49" t="s">
        <v>132</v>
      </c>
      <c r="L8" s="49" t="s">
        <v>133</v>
      </c>
      <c r="M8" s="49" t="s">
        <v>90</v>
      </c>
      <c r="N8" s="49" t="s">
        <v>89</v>
      </c>
      <c r="O8" s="49" t="s">
        <v>89</v>
      </c>
    </row>
    <row r="9" spans="2:1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5">
      <c r="B10" s="8" t="s">
        <v>1418</v>
      </c>
      <c r="C10" s="8"/>
      <c r="D10" s="38"/>
      <c r="E10" s="8"/>
      <c r="F10" s="8"/>
      <c r="G10" s="38"/>
      <c r="H10" s="8"/>
      <c r="I10" s="7"/>
      <c r="J10" s="14"/>
      <c r="K10" s="13">
        <f>K12</f>
        <v>32050291.710000005</v>
      </c>
      <c r="L10" s="7"/>
      <c r="M10" s="13">
        <f>M12</f>
        <v>85431.900000000009</v>
      </c>
      <c r="N10" s="14">
        <v>1</v>
      </c>
      <c r="O10" s="14">
        <v>2.24E-2</v>
      </c>
    </row>
    <row r="11" spans="2:15">
      <c r="B11" s="8"/>
      <c r="C11" s="8"/>
      <c r="D11" s="38"/>
      <c r="E11" s="8"/>
      <c r="F11" s="8"/>
      <c r="G11" s="38"/>
      <c r="H11" s="8"/>
      <c r="I11" s="7"/>
      <c r="J11" s="14"/>
      <c r="K11" s="13"/>
      <c r="L11" s="7"/>
      <c r="M11" s="13"/>
      <c r="N11" s="14"/>
      <c r="O11" s="14"/>
    </row>
    <row r="12" spans="2:15">
      <c r="B12" s="8" t="s">
        <v>1419</v>
      </c>
      <c r="C12" s="8"/>
      <c r="D12" s="38"/>
      <c r="E12" s="8"/>
      <c r="F12" s="8"/>
      <c r="G12" s="38"/>
      <c r="H12" s="8"/>
      <c r="I12" s="7"/>
      <c r="J12" s="14"/>
      <c r="K12" s="13">
        <f>K14+K18+K23+K39</f>
        <v>32050291.710000005</v>
      </c>
      <c r="L12" s="7"/>
      <c r="M12" s="13">
        <f>M14+M18+M23+M39</f>
        <v>85431.900000000009</v>
      </c>
      <c r="N12" s="14">
        <f>N14+N18+N23+N39</f>
        <v>0.99998814096373823</v>
      </c>
      <c r="O12" s="14">
        <f>O14+O18+O23+O39</f>
        <v>2.2565778734772841E-2</v>
      </c>
    </row>
    <row r="13" spans="2:15">
      <c r="B13" s="8"/>
      <c r="C13" s="8"/>
      <c r="D13" s="38"/>
      <c r="E13" s="8"/>
      <c r="F13" s="8"/>
      <c r="G13" s="38"/>
      <c r="H13" s="8"/>
      <c r="I13" s="7"/>
      <c r="J13" s="14"/>
      <c r="K13" s="13"/>
      <c r="L13" s="7"/>
      <c r="M13" s="13"/>
      <c r="N13" s="14"/>
      <c r="O13" s="14"/>
    </row>
    <row r="14" spans="2:15">
      <c r="B14" s="39" t="s">
        <v>1420</v>
      </c>
      <c r="C14" s="39"/>
      <c r="D14" s="40"/>
      <c r="E14" s="39"/>
      <c r="F14" s="39"/>
      <c r="G14" s="7"/>
      <c r="H14" s="39"/>
      <c r="I14" s="7"/>
      <c r="J14" s="7"/>
      <c r="K14" s="42">
        <v>1599</v>
      </c>
      <c r="L14" s="7"/>
      <c r="M14" s="42">
        <f>M15+M16</f>
        <v>50552.21</v>
      </c>
      <c r="N14" s="41">
        <f>N15+N16</f>
        <v>0.60282522207746747</v>
      </c>
      <c r="O14" s="41">
        <v>1.3299999999999999E-2</v>
      </c>
    </row>
    <row r="15" spans="2:15">
      <c r="B15" s="116" t="s">
        <v>1534</v>
      </c>
      <c r="C15" s="10" t="s">
        <v>1421</v>
      </c>
      <c r="D15" s="43">
        <v>29991638</v>
      </c>
      <c r="E15" s="10" t="s">
        <v>94</v>
      </c>
      <c r="F15" s="10" t="s">
        <v>95</v>
      </c>
      <c r="G15" s="7"/>
      <c r="H15" s="10" t="s">
        <v>96</v>
      </c>
      <c r="I15" s="7"/>
      <c r="J15" s="7"/>
      <c r="K15" s="11">
        <v>100</v>
      </c>
      <c r="L15" s="11">
        <v>1407222</v>
      </c>
      <c r="M15" s="11">
        <v>10759.11</v>
      </c>
      <c r="N15" s="117">
        <f>+M15/M10</f>
        <v>0.12593785225425164</v>
      </c>
      <c r="O15" s="12">
        <f>M15/'סכום נכסי הקרן'!$C$42</f>
        <v>2.9586860215253747E-3</v>
      </c>
    </row>
    <row r="16" spans="2:15" ht="13.5" customHeight="1">
      <c r="B16" s="116" t="s">
        <v>1535</v>
      </c>
      <c r="C16" s="10" t="s">
        <v>1421</v>
      </c>
      <c r="D16" s="43">
        <v>29991386</v>
      </c>
      <c r="E16" s="10" t="s">
        <v>94</v>
      </c>
      <c r="F16" s="10" t="s">
        <v>95</v>
      </c>
      <c r="G16" s="7"/>
      <c r="H16" s="10" t="s">
        <v>96</v>
      </c>
      <c r="I16" s="7"/>
      <c r="J16" s="7"/>
      <c r="K16" s="11">
        <v>100</v>
      </c>
      <c r="L16" s="11">
        <v>36914865</v>
      </c>
      <c r="M16" s="11">
        <v>39793.1</v>
      </c>
      <c r="N16" s="12">
        <f>+M16/M10+0.0111</f>
        <v>0.47688736982321583</v>
      </c>
      <c r="O16" s="12">
        <f>M16/'סכום נכסי הקרן'!$C$42</f>
        <v>1.0942846455065649E-2</v>
      </c>
    </row>
    <row r="17" spans="2:15" ht="13.5" customHeight="1">
      <c r="B17" s="116"/>
      <c r="C17" s="10"/>
      <c r="D17" s="43"/>
      <c r="E17" s="10"/>
      <c r="F17" s="10"/>
      <c r="G17" s="7"/>
      <c r="H17" s="10"/>
      <c r="I17" s="7"/>
      <c r="J17" s="7"/>
      <c r="K17" s="11"/>
      <c r="L17" s="11"/>
      <c r="M17" s="11"/>
      <c r="N17" s="12"/>
      <c r="O17" s="12"/>
    </row>
    <row r="18" spans="2:15">
      <c r="B18" s="39" t="s">
        <v>1422</v>
      </c>
      <c r="C18" s="39"/>
      <c r="D18" s="40"/>
      <c r="E18" s="39"/>
      <c r="F18" s="39"/>
      <c r="G18" s="40"/>
      <c r="H18" s="39"/>
      <c r="I18" s="7"/>
      <c r="J18" s="41"/>
      <c r="K18" s="42">
        <v>803375.21</v>
      </c>
      <c r="L18" s="7"/>
      <c r="M18" s="42">
        <f>M19</f>
        <v>825.79</v>
      </c>
      <c r="N18" s="41">
        <v>9.7000000000000003E-3</v>
      </c>
      <c r="O18" s="41">
        <v>2.0000000000000001E-4</v>
      </c>
    </row>
    <row r="19" spans="2:15">
      <c r="B19" s="10" t="s">
        <v>1536</v>
      </c>
      <c r="C19" s="10" t="s">
        <v>1421</v>
      </c>
      <c r="D19" s="43">
        <v>89898910</v>
      </c>
      <c r="E19" s="10" t="s">
        <v>360</v>
      </c>
      <c r="F19" s="10" t="s">
        <v>1121</v>
      </c>
      <c r="G19" s="43">
        <v>0.6</v>
      </c>
      <c r="H19" s="10" t="s">
        <v>96</v>
      </c>
      <c r="I19" s="44">
        <v>5.7500000000000002E-2</v>
      </c>
      <c r="J19" s="12">
        <v>2.0400000000000001E-2</v>
      </c>
      <c r="K19" s="11">
        <v>803375.21</v>
      </c>
      <c r="L19" s="11">
        <v>102.79</v>
      </c>
      <c r="M19" s="11">
        <v>825.79</v>
      </c>
      <c r="N19" s="12">
        <f>M19/M10</f>
        <v>9.6660615062991676E-3</v>
      </c>
      <c r="O19" s="12">
        <f>M19/'סכום נכסי הקרן'!$C$42</f>
        <v>2.2708693653243056E-4</v>
      </c>
    </row>
    <row r="20" spans="2:15">
      <c r="B20" s="10"/>
      <c r="C20" s="10"/>
      <c r="D20" s="43"/>
      <c r="E20" s="10"/>
      <c r="F20" s="10"/>
      <c r="G20" s="43"/>
      <c r="H20" s="10"/>
      <c r="I20" s="44"/>
      <c r="J20" s="12"/>
      <c r="K20" s="11"/>
      <c r="L20" s="11"/>
      <c r="M20" s="11"/>
      <c r="N20" s="12"/>
      <c r="O20" s="12"/>
    </row>
    <row r="21" spans="2:15">
      <c r="B21" s="39" t="s">
        <v>1423</v>
      </c>
      <c r="C21" s="39"/>
      <c r="D21" s="40"/>
      <c r="E21" s="39"/>
      <c r="F21" s="39"/>
      <c r="G21" s="7"/>
      <c r="H21" s="39"/>
      <c r="I21" s="7"/>
      <c r="J21" s="7"/>
      <c r="K21" s="42">
        <v>0</v>
      </c>
      <c r="L21" s="7"/>
      <c r="M21" s="42">
        <v>0</v>
      </c>
      <c r="N21" s="41">
        <v>0</v>
      </c>
      <c r="O21" s="41">
        <v>0</v>
      </c>
    </row>
    <row r="22" spans="2:15">
      <c r="B22" s="39"/>
      <c r="C22" s="39"/>
      <c r="D22" s="40"/>
      <c r="E22" s="39"/>
      <c r="F22" s="39"/>
      <c r="G22" s="7"/>
      <c r="H22" s="39"/>
      <c r="I22" s="7"/>
      <c r="J22" s="7"/>
      <c r="K22" s="42"/>
      <c r="L22" s="7"/>
      <c r="M22" s="42"/>
      <c r="N22" s="41"/>
      <c r="O22" s="41"/>
    </row>
    <row r="23" spans="2:15">
      <c r="B23" s="39" t="s">
        <v>1424</v>
      </c>
      <c r="C23" s="39"/>
      <c r="D23" s="40"/>
      <c r="E23" s="39"/>
      <c r="F23" s="39"/>
      <c r="G23" s="40"/>
      <c r="H23" s="39"/>
      <c r="I23" s="7"/>
      <c r="J23" s="41"/>
      <c r="K23" s="42">
        <f>SUM(K24:K37)</f>
        <v>31244513.650000002</v>
      </c>
      <c r="L23" s="42"/>
      <c r="M23" s="42">
        <f t="shared" ref="M23" si="0">SUM(M24:M37)</f>
        <v>31512.660000000003</v>
      </c>
      <c r="N23" s="41">
        <f t="shared" ref="N23" si="1">SUM(N24:N37)</f>
        <v>0.36886291888627076</v>
      </c>
      <c r="O23" s="41">
        <f t="shared" ref="O23" si="2">SUM(O24:O37)</f>
        <v>8.6657787347728405E-3</v>
      </c>
    </row>
    <row r="24" spans="2:15">
      <c r="B24" s="10" t="s">
        <v>1539</v>
      </c>
      <c r="C24" s="10" t="s">
        <v>1421</v>
      </c>
      <c r="D24" s="43">
        <v>510151004</v>
      </c>
      <c r="E24" s="10" t="s">
        <v>99</v>
      </c>
      <c r="F24" s="10" t="s">
        <v>1121</v>
      </c>
      <c r="G24" s="43">
        <v>0.17</v>
      </c>
      <c r="H24" s="10" t="s">
        <v>96</v>
      </c>
      <c r="I24" s="44">
        <v>0.03</v>
      </c>
      <c r="J24" s="12">
        <v>2.6800000000000001E-2</v>
      </c>
      <c r="K24" s="11">
        <v>2610531.4</v>
      </c>
      <c r="L24" s="11">
        <v>100.37</v>
      </c>
      <c r="M24" s="11">
        <f>2620.19-12.55</f>
        <v>2607.64</v>
      </c>
      <c r="N24" s="117">
        <f>M24/$M$10</f>
        <v>3.0523024771777284E-2</v>
      </c>
      <c r="O24" s="12">
        <f>M24/'סכום נכסי הקרן'!$C$42</f>
        <v>7.170842213873106E-4</v>
      </c>
    </row>
    <row r="25" spans="2:15">
      <c r="B25" s="10" t="s">
        <v>1540</v>
      </c>
      <c r="C25" s="10" t="s">
        <v>1421</v>
      </c>
      <c r="D25" s="43">
        <v>500171889</v>
      </c>
      <c r="E25" s="10" t="s">
        <v>99</v>
      </c>
      <c r="F25" s="10" t="s">
        <v>1121</v>
      </c>
      <c r="G25" s="43">
        <v>0.17</v>
      </c>
      <c r="H25" s="10" t="s">
        <v>96</v>
      </c>
      <c r="I25" s="44">
        <v>3.5000000000000003E-2</v>
      </c>
      <c r="J25" s="12">
        <v>3.1399999999999997E-2</v>
      </c>
      <c r="K25" s="11">
        <v>1013340</v>
      </c>
      <c r="L25" s="11">
        <v>100.43</v>
      </c>
      <c r="M25" s="11">
        <v>1017.7</v>
      </c>
      <c r="N25" s="117">
        <f t="shared" ref="N25:N37" si="3">M25/$M$10</f>
        <v>1.191241210835765E-2</v>
      </c>
      <c r="O25" s="12">
        <f>M25/'סכום נכסי הקרן'!$C$42</f>
        <v>2.7986095170570556E-4</v>
      </c>
    </row>
    <row r="26" spans="2:15">
      <c r="B26" s="10" t="s">
        <v>1541</v>
      </c>
      <c r="C26" s="10" t="s">
        <v>1421</v>
      </c>
      <c r="D26" s="43">
        <v>510118482</v>
      </c>
      <c r="E26" s="10" t="s">
        <v>99</v>
      </c>
      <c r="F26" s="10" t="s">
        <v>1121</v>
      </c>
      <c r="G26" s="43">
        <v>0.09</v>
      </c>
      <c r="H26" s="10" t="s">
        <v>96</v>
      </c>
      <c r="I26" s="44">
        <v>3.15E-2</v>
      </c>
      <c r="J26" s="12">
        <v>2.8299999999999999E-2</v>
      </c>
      <c r="K26" s="11">
        <v>2659922</v>
      </c>
      <c r="L26" s="11">
        <v>100.36</v>
      </c>
      <c r="M26" s="11">
        <v>2669.5</v>
      </c>
      <c r="N26" s="117">
        <f t="shared" si="3"/>
        <v>3.1247110271455974E-2</v>
      </c>
      <c r="O26" s="12">
        <f>M26/'סכום נכסי הקרן'!$C$42</f>
        <v>7.3409532335499755E-4</v>
      </c>
    </row>
    <row r="27" spans="2:15">
      <c r="B27" s="10" t="s">
        <v>1542</v>
      </c>
      <c r="C27" s="10" t="s">
        <v>1421</v>
      </c>
      <c r="D27" s="43">
        <v>500171004</v>
      </c>
      <c r="E27" s="10" t="s">
        <v>99</v>
      </c>
      <c r="F27" s="10" t="s">
        <v>1121</v>
      </c>
      <c r="G27" s="43">
        <v>1.34</v>
      </c>
      <c r="H27" s="10" t="s">
        <v>96</v>
      </c>
      <c r="I27" s="44">
        <v>3.4000000000000002E-2</v>
      </c>
      <c r="J27" s="12">
        <v>2.98E-2</v>
      </c>
      <c r="K27" s="11">
        <v>2030947</v>
      </c>
      <c r="L27" s="11">
        <v>100.89</v>
      </c>
      <c r="M27" s="11">
        <v>2049.02</v>
      </c>
      <c r="N27" s="117">
        <f t="shared" si="3"/>
        <v>2.39842494431237E-2</v>
      </c>
      <c r="O27" s="12">
        <f>M27/'סכום נכסי הקרן'!$C$42</f>
        <v>5.634673157748106E-4</v>
      </c>
    </row>
    <row r="28" spans="2:15">
      <c r="B28" s="10" t="s">
        <v>1543</v>
      </c>
      <c r="C28" s="10" t="s">
        <v>1421</v>
      </c>
      <c r="D28" s="43">
        <v>510146947</v>
      </c>
      <c r="E28" s="10" t="s">
        <v>99</v>
      </c>
      <c r="F28" s="10" t="s">
        <v>1121</v>
      </c>
      <c r="G28" s="43">
        <v>2.0699999999999998</v>
      </c>
      <c r="H28" s="10" t="s">
        <v>96</v>
      </c>
      <c r="I28" s="44">
        <v>3.5000000000000003E-2</v>
      </c>
      <c r="J28" s="12">
        <v>3.1199999999999999E-2</v>
      </c>
      <c r="K28" s="11">
        <v>1007359</v>
      </c>
      <c r="L28" s="11">
        <v>101.12</v>
      </c>
      <c r="M28" s="11">
        <v>1018.64</v>
      </c>
      <c r="N28" s="117">
        <f t="shared" si="3"/>
        <v>1.1923415024130329E-2</v>
      </c>
      <c r="O28" s="12">
        <f>M28/'סכום נכסי הקרן'!$C$42</f>
        <v>2.8011944565736453E-4</v>
      </c>
    </row>
    <row r="29" spans="2:15">
      <c r="B29" s="10" t="s">
        <v>1536</v>
      </c>
      <c r="C29" s="10" t="s">
        <v>1421</v>
      </c>
      <c r="D29" s="43">
        <v>500169859</v>
      </c>
      <c r="E29" s="10" t="s">
        <v>333</v>
      </c>
      <c r="F29" s="10" t="s">
        <v>1121</v>
      </c>
      <c r="G29" s="43">
        <v>1.75</v>
      </c>
      <c r="H29" s="10" t="s">
        <v>96</v>
      </c>
      <c r="I29" s="44">
        <v>3.4000000000000002E-2</v>
      </c>
      <c r="J29" s="12">
        <v>3.0099999999999998E-2</v>
      </c>
      <c r="K29" s="11">
        <v>2417320</v>
      </c>
      <c r="L29" s="11">
        <v>101</v>
      </c>
      <c r="M29" s="11">
        <v>2441.4899999999998</v>
      </c>
      <c r="N29" s="117">
        <f t="shared" si="3"/>
        <v>2.8578200882808408E-2</v>
      </c>
      <c r="O29" s="12">
        <f>M29/'סכום נכסי הקרן'!$C$42</f>
        <v>6.7139404046375449E-4</v>
      </c>
    </row>
    <row r="30" spans="2:15">
      <c r="B30" s="10" t="s">
        <v>1544</v>
      </c>
      <c r="C30" s="10" t="s">
        <v>1421</v>
      </c>
      <c r="D30" s="43">
        <v>510150402</v>
      </c>
      <c r="E30" s="10" t="s">
        <v>333</v>
      </c>
      <c r="F30" s="10" t="s">
        <v>1121</v>
      </c>
      <c r="G30" s="43">
        <v>2.17</v>
      </c>
      <c r="H30" s="10" t="s">
        <v>96</v>
      </c>
      <c r="I30" s="44">
        <v>3.4000000000000002E-2</v>
      </c>
      <c r="J30" s="12">
        <v>3.04E-2</v>
      </c>
      <c r="K30" s="11">
        <v>4721923</v>
      </c>
      <c r="L30" s="11">
        <v>101.11</v>
      </c>
      <c r="M30" s="11">
        <v>4774.34</v>
      </c>
      <c r="N30" s="117">
        <f t="shared" si="3"/>
        <v>5.5884745627804128E-2</v>
      </c>
      <c r="O30" s="12">
        <f>M30/'סכום נכסי הקרן'!$C$42</f>
        <v>1.3129127799613033E-3</v>
      </c>
    </row>
    <row r="31" spans="2:15">
      <c r="B31" s="10" t="s">
        <v>1545</v>
      </c>
      <c r="C31" s="10" t="s">
        <v>1421</v>
      </c>
      <c r="D31" s="43">
        <v>510158744</v>
      </c>
      <c r="E31" s="10" t="s">
        <v>333</v>
      </c>
      <c r="F31" s="10" t="s">
        <v>1121</v>
      </c>
      <c r="G31" s="43">
        <v>2.0099999999999998</v>
      </c>
      <c r="H31" s="10" t="s">
        <v>96</v>
      </c>
      <c r="I31" s="44">
        <v>3.4000000000000002E-2</v>
      </c>
      <c r="J31" s="12">
        <v>3.0200000000000001E-2</v>
      </c>
      <c r="K31" s="11">
        <v>474598.13</v>
      </c>
      <c r="L31" s="11">
        <v>101.08</v>
      </c>
      <c r="M31" s="11">
        <v>479.72</v>
      </c>
      <c r="N31" s="117">
        <f t="shared" si="3"/>
        <v>5.6152327175212069E-3</v>
      </c>
      <c r="O31" s="12">
        <f>M31/'סכום נכסי הקרן'!$C$42</f>
        <v>1.3191991328707976E-4</v>
      </c>
    </row>
    <row r="32" spans="2:15">
      <c r="B32" s="10" t="s">
        <v>1546</v>
      </c>
      <c r="C32" s="10" t="s">
        <v>1421</v>
      </c>
      <c r="D32" s="43">
        <v>500183173</v>
      </c>
      <c r="E32" s="10" t="s">
        <v>333</v>
      </c>
      <c r="F32" s="10" t="s">
        <v>1121</v>
      </c>
      <c r="G32" s="43">
        <v>2.1</v>
      </c>
      <c r="H32" s="10" t="s">
        <v>96</v>
      </c>
      <c r="I32" s="44">
        <v>3.4500000000000003E-2</v>
      </c>
      <c r="J32" s="12">
        <v>3.0700000000000002E-2</v>
      </c>
      <c r="K32" s="11">
        <v>3931166</v>
      </c>
      <c r="L32" s="11">
        <v>101.12</v>
      </c>
      <c r="M32" s="11">
        <v>3975.2</v>
      </c>
      <c r="N32" s="117">
        <f t="shared" si="3"/>
        <v>4.6530628488889975E-2</v>
      </c>
      <c r="O32" s="12">
        <f>M32/'סכום נכסי הקרן'!$C$42</f>
        <v>1.0931544219519708E-3</v>
      </c>
    </row>
    <row r="33" spans="2:15">
      <c r="B33" s="10" t="s">
        <v>1547</v>
      </c>
      <c r="C33" s="10" t="s">
        <v>1421</v>
      </c>
      <c r="D33" s="43">
        <v>510158314</v>
      </c>
      <c r="E33" s="10" t="s">
        <v>333</v>
      </c>
      <c r="F33" s="10" t="s">
        <v>1121</v>
      </c>
      <c r="G33" s="43">
        <v>1.01</v>
      </c>
      <c r="H33" s="10" t="s">
        <v>96</v>
      </c>
      <c r="I33" s="44">
        <v>3.3500000000000002E-2</v>
      </c>
      <c r="J33" s="12">
        <v>2.9700000000000001E-2</v>
      </c>
      <c r="K33" s="11">
        <v>1952165</v>
      </c>
      <c r="L33" s="11">
        <v>100.71</v>
      </c>
      <c r="M33" s="11">
        <v>1966.03</v>
      </c>
      <c r="N33" s="117">
        <f t="shared" si="3"/>
        <v>2.3012832443150624E-2</v>
      </c>
      <c r="O33" s="12">
        <f>M33/'סכום נכסי הקרן'!$C$42</f>
        <v>5.4064559976610817E-4</v>
      </c>
    </row>
    <row r="34" spans="2:15">
      <c r="B34" s="10" t="s">
        <v>1551</v>
      </c>
      <c r="C34" s="10" t="s">
        <v>1421</v>
      </c>
      <c r="D34" s="43">
        <v>510154305</v>
      </c>
      <c r="E34" s="10" t="s">
        <v>333</v>
      </c>
      <c r="F34" s="10" t="s">
        <v>1121</v>
      </c>
      <c r="G34" s="43">
        <v>2.84</v>
      </c>
      <c r="H34" s="10" t="s">
        <v>96</v>
      </c>
      <c r="I34" s="44">
        <v>3.1E-2</v>
      </c>
      <c r="J34" s="12">
        <v>2.8299999999999999E-2</v>
      </c>
      <c r="K34" s="11">
        <v>4758751.12</v>
      </c>
      <c r="L34" s="11">
        <v>101.05</v>
      </c>
      <c r="M34" s="11">
        <v>4808.72</v>
      </c>
      <c r="N34" s="117">
        <f t="shared" si="3"/>
        <v>5.6287171419575122E-2</v>
      </c>
      <c r="O34" s="12">
        <f>M34/'סכום נכסי הקרן'!$C$42</f>
        <v>1.3223670587464483E-3</v>
      </c>
    </row>
    <row r="35" spans="2:15">
      <c r="B35" s="10" t="s">
        <v>1548</v>
      </c>
      <c r="C35" s="10" t="s">
        <v>1421</v>
      </c>
      <c r="D35" s="43">
        <v>500200563</v>
      </c>
      <c r="E35" s="10" t="s">
        <v>333</v>
      </c>
      <c r="F35" s="10" t="s">
        <v>1121</v>
      </c>
      <c r="G35" s="43">
        <v>2.09</v>
      </c>
      <c r="H35" s="10" t="s">
        <v>96</v>
      </c>
      <c r="I35" s="44">
        <v>3.1E-2</v>
      </c>
      <c r="J35" s="12">
        <v>2.76E-2</v>
      </c>
      <c r="K35" s="11">
        <v>873526</v>
      </c>
      <c r="L35" s="11">
        <v>101.01</v>
      </c>
      <c r="M35" s="11">
        <v>882.35</v>
      </c>
      <c r="N35" s="117">
        <f t="shared" si="3"/>
        <v>1.0328109289387219E-2</v>
      </c>
      <c r="O35" s="12">
        <f>M35/'סכום נכסי הקרן'!$C$42</f>
        <v>2.4264057260246565E-4</v>
      </c>
    </row>
    <row r="36" spans="2:15">
      <c r="B36" s="10" t="s">
        <v>1549</v>
      </c>
      <c r="C36" s="10" t="s">
        <v>1421</v>
      </c>
      <c r="D36" s="43">
        <v>510163140</v>
      </c>
      <c r="E36" s="10" t="s">
        <v>381</v>
      </c>
      <c r="F36" s="10" t="s">
        <v>1121</v>
      </c>
      <c r="G36" s="43">
        <v>2.34</v>
      </c>
      <c r="H36" s="10" t="s">
        <v>96</v>
      </c>
      <c r="I36" s="44">
        <v>3.1E-2</v>
      </c>
      <c r="J36" s="12">
        <v>2.7799999999999998E-2</v>
      </c>
      <c r="K36" s="11">
        <v>1283357</v>
      </c>
      <c r="L36" s="11">
        <v>101.04</v>
      </c>
      <c r="M36" s="11">
        <v>1296.7</v>
      </c>
      <c r="N36" s="117">
        <f t="shared" si="3"/>
        <v>1.5178171151525366E-2</v>
      </c>
      <c r="O36" s="12">
        <f>M36/'סכום נכסי הקרן'!$C$42</f>
        <v>3.5658415650662121E-4</v>
      </c>
    </row>
    <row r="37" spans="2:15">
      <c r="B37" s="10" t="s">
        <v>1550</v>
      </c>
      <c r="C37" s="10" t="s">
        <v>1421</v>
      </c>
      <c r="D37" s="43">
        <v>510165962</v>
      </c>
      <c r="E37" s="10" t="s">
        <v>381</v>
      </c>
      <c r="F37" s="10" t="s">
        <v>1121</v>
      </c>
      <c r="G37" s="43">
        <v>2.09</v>
      </c>
      <c r="H37" s="10" t="s">
        <v>96</v>
      </c>
      <c r="I37" s="44">
        <v>3.2500000000000001E-2</v>
      </c>
      <c r="J37" s="12">
        <v>2.8899999999999999E-2</v>
      </c>
      <c r="K37" s="11">
        <v>1509608</v>
      </c>
      <c r="L37" s="11">
        <v>101.06</v>
      </c>
      <c r="M37" s="11">
        <v>1525.61</v>
      </c>
      <c r="N37" s="117">
        <f t="shared" si="3"/>
        <v>1.7857615246763794E-2</v>
      </c>
      <c r="O37" s="12">
        <f>M37/'סכום נכסי הקרן'!$C$42</f>
        <v>4.1953293360689928E-4</v>
      </c>
    </row>
    <row r="38" spans="2:15">
      <c r="B38" s="10"/>
      <c r="C38" s="10"/>
      <c r="D38" s="43"/>
      <c r="E38" s="10"/>
      <c r="F38" s="10"/>
      <c r="G38" s="43"/>
      <c r="H38" s="10"/>
      <c r="I38" s="44"/>
      <c r="J38" s="12"/>
      <c r="K38" s="11"/>
      <c r="L38" s="11"/>
      <c r="M38" s="11"/>
      <c r="N38" s="12"/>
      <c r="O38" s="12"/>
    </row>
    <row r="39" spans="2:15">
      <c r="B39" s="39" t="s">
        <v>1425</v>
      </c>
      <c r="C39" s="39"/>
      <c r="D39" s="40"/>
      <c r="E39" s="39"/>
      <c r="F39" s="39"/>
      <c r="G39" s="40"/>
      <c r="H39" s="39"/>
      <c r="I39" s="7"/>
      <c r="J39" s="41"/>
      <c r="K39" s="42">
        <f>K40+K41</f>
        <v>803.85</v>
      </c>
      <c r="L39" s="7"/>
      <c r="M39" s="42">
        <f>M40+M41</f>
        <v>2541.2400000000002</v>
      </c>
      <c r="N39" s="41">
        <v>1.8599999999999998E-2</v>
      </c>
      <c r="O39" s="41">
        <v>4.0000000000000002E-4</v>
      </c>
    </row>
    <row r="40" spans="2:15">
      <c r="B40" s="10" t="s">
        <v>1537</v>
      </c>
      <c r="C40" s="10" t="s">
        <v>1421</v>
      </c>
      <c r="D40" s="43">
        <v>8887124</v>
      </c>
      <c r="E40" s="10" t="s">
        <v>333</v>
      </c>
      <c r="F40" s="10" t="s">
        <v>1121</v>
      </c>
      <c r="G40" s="7"/>
      <c r="H40" s="10" t="s">
        <v>96</v>
      </c>
      <c r="I40" s="7"/>
      <c r="J40" s="7"/>
      <c r="K40" s="11">
        <v>100</v>
      </c>
      <c r="L40" s="11">
        <v>1837394.84</v>
      </c>
      <c r="M40" s="11">
        <v>1837.39</v>
      </c>
      <c r="N40" s="12">
        <f>M40/$M$10</f>
        <v>2.1507071714429855E-2</v>
      </c>
      <c r="O40" s="12">
        <v>2.0000000000000001E-4</v>
      </c>
    </row>
    <row r="41" spans="2:15">
      <c r="B41" s="10" t="s">
        <v>1538</v>
      </c>
      <c r="C41" s="10" t="s">
        <v>1421</v>
      </c>
      <c r="D41" s="43">
        <v>9088915</v>
      </c>
      <c r="E41" s="10" t="s">
        <v>333</v>
      </c>
      <c r="F41" s="10" t="s">
        <v>1121</v>
      </c>
      <c r="G41" s="43">
        <v>1.85</v>
      </c>
      <c r="H41" s="10" t="s">
        <v>96</v>
      </c>
      <c r="I41" s="44">
        <v>5.5E-2</v>
      </c>
      <c r="J41" s="12">
        <v>3.5099999999999999E-2</v>
      </c>
      <c r="K41" s="11">
        <v>703.85</v>
      </c>
      <c r="L41" s="11">
        <v>103.95</v>
      </c>
      <c r="M41" s="11">
        <v>703.85</v>
      </c>
      <c r="N41" s="12">
        <f>M41/$M$10</f>
        <v>8.2387258155326056E-3</v>
      </c>
      <c r="O41" s="12">
        <v>1E-4</v>
      </c>
    </row>
    <row r="42" spans="2:15">
      <c r="B42" s="10"/>
      <c r="C42" s="10"/>
      <c r="D42" s="43"/>
      <c r="E42" s="10"/>
      <c r="F42" s="10"/>
      <c r="G42" s="43"/>
      <c r="H42" s="10"/>
      <c r="I42" s="44"/>
      <c r="J42" s="12"/>
      <c r="K42" s="11"/>
      <c r="L42" s="11"/>
      <c r="M42" s="11"/>
      <c r="N42" s="12"/>
      <c r="O42" s="12"/>
    </row>
    <row r="43" spans="2:15">
      <c r="B43" s="39" t="s">
        <v>1426</v>
      </c>
      <c r="C43" s="39"/>
      <c r="D43" s="40"/>
      <c r="E43" s="39"/>
      <c r="F43" s="39"/>
      <c r="G43" s="7"/>
      <c r="H43" s="39"/>
      <c r="I43" s="7"/>
      <c r="J43" s="7"/>
      <c r="K43" s="42">
        <v>0</v>
      </c>
      <c r="L43" s="7"/>
      <c r="M43" s="42">
        <v>0</v>
      </c>
      <c r="N43" s="41">
        <v>0</v>
      </c>
      <c r="O43" s="41">
        <v>0</v>
      </c>
    </row>
    <row r="44" spans="2:15">
      <c r="B44" s="39" t="s">
        <v>1427</v>
      </c>
      <c r="C44" s="39"/>
      <c r="D44" s="40"/>
      <c r="E44" s="39"/>
      <c r="F44" s="39"/>
      <c r="G44" s="7"/>
      <c r="H44" s="39"/>
      <c r="I44" s="7"/>
      <c r="J44" s="7"/>
      <c r="K44" s="42">
        <v>0</v>
      </c>
      <c r="L44" s="7"/>
      <c r="M44" s="42">
        <v>0</v>
      </c>
      <c r="N44" s="41">
        <v>0</v>
      </c>
      <c r="O44" s="41">
        <v>0</v>
      </c>
    </row>
    <row r="45" spans="2:15">
      <c r="B45" s="39" t="s">
        <v>1428</v>
      </c>
      <c r="C45" s="39"/>
      <c r="D45" s="40"/>
      <c r="E45" s="39"/>
      <c r="F45" s="39"/>
      <c r="G45" s="7"/>
      <c r="H45" s="39"/>
      <c r="I45" s="7"/>
      <c r="J45" s="7"/>
      <c r="K45" s="42">
        <v>0</v>
      </c>
      <c r="L45" s="7"/>
      <c r="M45" s="42">
        <v>0</v>
      </c>
      <c r="N45" s="41">
        <v>0</v>
      </c>
      <c r="O45" s="41">
        <v>0</v>
      </c>
    </row>
    <row r="46" spans="2:15">
      <c r="B46" s="39" t="s">
        <v>1429</v>
      </c>
      <c r="C46" s="39"/>
      <c r="D46" s="40"/>
      <c r="E46" s="39"/>
      <c r="F46" s="39"/>
      <c r="G46" s="40"/>
      <c r="H46" s="39"/>
      <c r="I46" s="7"/>
      <c r="J46" s="41"/>
      <c r="K46" s="42">
        <v>0</v>
      </c>
      <c r="L46" s="7"/>
      <c r="M46" s="42">
        <v>0</v>
      </c>
      <c r="N46" s="41">
        <v>0</v>
      </c>
      <c r="O46" s="41">
        <v>0</v>
      </c>
    </row>
    <row r="47" spans="2:15">
      <c r="B47" s="8" t="s">
        <v>1430</v>
      </c>
      <c r="C47" s="8"/>
      <c r="D47" s="38"/>
      <c r="E47" s="8"/>
      <c r="F47" s="8"/>
      <c r="G47" s="7"/>
      <c r="H47" s="8"/>
      <c r="I47" s="7"/>
      <c r="J47" s="7"/>
      <c r="K47" s="13">
        <v>0</v>
      </c>
      <c r="L47" s="7"/>
      <c r="M47" s="13">
        <v>0</v>
      </c>
      <c r="N47" s="14">
        <v>0</v>
      </c>
      <c r="O47" s="14">
        <v>0</v>
      </c>
    </row>
    <row r="48" spans="2:15">
      <c r="B48" s="39" t="s">
        <v>1431</v>
      </c>
      <c r="C48" s="39"/>
      <c r="D48" s="40"/>
      <c r="E48" s="39"/>
      <c r="F48" s="39"/>
      <c r="G48" s="7"/>
      <c r="H48" s="39"/>
      <c r="I48" s="7"/>
      <c r="J48" s="7"/>
      <c r="K48" s="42">
        <v>0</v>
      </c>
      <c r="L48" s="7"/>
      <c r="M48" s="42">
        <v>0</v>
      </c>
      <c r="N48" s="41">
        <v>0</v>
      </c>
      <c r="O48" s="41">
        <v>0</v>
      </c>
    </row>
    <row r="49" spans="2:15">
      <c r="B49" s="39" t="s">
        <v>1432</v>
      </c>
      <c r="C49" s="39"/>
      <c r="D49" s="40"/>
      <c r="E49" s="39"/>
      <c r="F49" s="39"/>
      <c r="G49" s="7"/>
      <c r="H49" s="39"/>
      <c r="I49" s="7"/>
      <c r="J49" s="7"/>
      <c r="K49" s="42">
        <v>0</v>
      </c>
      <c r="L49" s="7"/>
      <c r="M49" s="42">
        <v>0</v>
      </c>
      <c r="N49" s="41">
        <v>0</v>
      </c>
      <c r="O49" s="41">
        <v>0</v>
      </c>
    </row>
    <row r="50" spans="2:15">
      <c r="B50" s="39" t="s">
        <v>1433</v>
      </c>
      <c r="C50" s="39"/>
      <c r="D50" s="40"/>
      <c r="E50" s="39"/>
      <c r="F50" s="39"/>
      <c r="G50" s="7"/>
      <c r="H50" s="39"/>
      <c r="I50" s="7"/>
      <c r="J50" s="7"/>
      <c r="K50" s="42">
        <v>0</v>
      </c>
      <c r="L50" s="7"/>
      <c r="M50" s="42">
        <v>0</v>
      </c>
      <c r="N50" s="41">
        <v>0</v>
      </c>
      <c r="O50" s="41">
        <v>0</v>
      </c>
    </row>
    <row r="51" spans="2:15">
      <c r="B51" s="39" t="s">
        <v>1434</v>
      </c>
      <c r="C51" s="39"/>
      <c r="D51" s="40"/>
      <c r="E51" s="39"/>
      <c r="F51" s="39"/>
      <c r="G51" s="7"/>
      <c r="H51" s="39"/>
      <c r="I51" s="7"/>
      <c r="J51" s="7"/>
      <c r="K51" s="42">
        <v>0</v>
      </c>
      <c r="L51" s="7"/>
      <c r="M51" s="42">
        <v>0</v>
      </c>
      <c r="N51" s="41">
        <v>0</v>
      </c>
      <c r="O51" s="41">
        <v>0</v>
      </c>
    </row>
    <row r="54" spans="2:15">
      <c r="B54" s="3" t="s">
        <v>121</v>
      </c>
      <c r="C54" s="3"/>
      <c r="D54" s="5"/>
      <c r="E54" s="3"/>
      <c r="F54" s="3"/>
      <c r="H54" s="3"/>
    </row>
    <row r="58" spans="2:15">
      <c r="B58" s="2" t="s">
        <v>76</v>
      </c>
    </row>
  </sheetData>
  <mergeCells count="2">
    <mergeCell ref="B6:K6"/>
    <mergeCell ref="L6:O6"/>
  </mergeCells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rightToLeft="1" topLeftCell="D1" workbookViewId="0">
      <selection activeCell="M16" sqref="M16"/>
    </sheetView>
  </sheetViews>
  <sheetFormatPr defaultColWidth="9.140625" defaultRowHeight="12.75"/>
  <cols>
    <col min="1" max="1" width="4.28515625" customWidth="1"/>
    <col min="2" max="2" width="27.7109375" customWidth="1"/>
    <col min="3" max="3" width="14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7.7109375" customWidth="1"/>
    <col min="15" max="15" width="20.7109375" customWidth="1"/>
  </cols>
  <sheetData>
    <row r="1" spans="2:15">
      <c r="B1" s="15" t="s">
        <v>1490</v>
      </c>
    </row>
    <row r="2" spans="2:15">
      <c r="B2" s="15" t="s">
        <v>1489</v>
      </c>
    </row>
    <row r="3" spans="2:15">
      <c r="B3" s="15" t="s">
        <v>2</v>
      </c>
    </row>
    <row r="4" spans="2:15">
      <c r="B4" s="15" t="s">
        <v>3</v>
      </c>
    </row>
    <row r="6" spans="2:15">
      <c r="B6" s="113" t="s">
        <v>1435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2:15">
      <c r="B7" s="49" t="s">
        <v>78</v>
      </c>
      <c r="C7" s="49" t="s">
        <v>79</v>
      </c>
      <c r="D7" s="49" t="s">
        <v>80</v>
      </c>
      <c r="E7" s="49" t="s">
        <v>81</v>
      </c>
      <c r="F7" s="49" t="s">
        <v>82</v>
      </c>
      <c r="G7" s="49" t="s">
        <v>126</v>
      </c>
      <c r="H7" s="49" t="s">
        <v>83</v>
      </c>
      <c r="I7" s="49" t="s">
        <v>84</v>
      </c>
      <c r="J7" s="49" t="s">
        <v>85</v>
      </c>
      <c r="K7" s="49" t="s">
        <v>127</v>
      </c>
      <c r="L7" s="49" t="s">
        <v>42</v>
      </c>
      <c r="M7" s="49" t="s">
        <v>1201</v>
      </c>
      <c r="N7" s="49" t="s">
        <v>129</v>
      </c>
      <c r="O7" s="49" t="s">
        <v>88</v>
      </c>
    </row>
    <row r="8" spans="2:15">
      <c r="B8" s="49"/>
      <c r="C8" s="49"/>
      <c r="D8" s="49"/>
      <c r="E8" s="49"/>
      <c r="F8" s="49"/>
      <c r="G8" s="49" t="s">
        <v>131</v>
      </c>
      <c r="H8" s="49"/>
      <c r="I8" s="49" t="s">
        <v>89</v>
      </c>
      <c r="J8" s="49" t="s">
        <v>89</v>
      </c>
      <c r="K8" s="49" t="s">
        <v>132</v>
      </c>
      <c r="L8" s="49" t="s">
        <v>133</v>
      </c>
      <c r="M8" s="49" t="s">
        <v>90</v>
      </c>
      <c r="N8" s="49" t="s">
        <v>89</v>
      </c>
      <c r="O8" s="49" t="s">
        <v>89</v>
      </c>
    </row>
    <row r="9" spans="2:1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5">
      <c r="B10" s="8" t="s">
        <v>1436</v>
      </c>
      <c r="C10" s="38"/>
      <c r="D10" s="8"/>
      <c r="E10" s="8"/>
      <c r="F10" s="8"/>
      <c r="G10" s="38"/>
      <c r="H10" s="8"/>
      <c r="I10" s="7"/>
      <c r="J10" s="14"/>
      <c r="K10" s="13">
        <f>K12</f>
        <v>6079608.25</v>
      </c>
      <c r="L10" s="7"/>
      <c r="M10" s="13">
        <f>M12</f>
        <v>8366.2799999999988</v>
      </c>
      <c r="N10" s="14">
        <f>N12</f>
        <v>1</v>
      </c>
      <c r="O10" s="14">
        <f>O12</f>
        <v>2.300673167963457E-3</v>
      </c>
    </row>
    <row r="11" spans="2:15">
      <c r="B11" s="8"/>
      <c r="C11" s="38"/>
      <c r="D11" s="8"/>
      <c r="E11" s="8"/>
      <c r="F11" s="8"/>
      <c r="G11" s="38"/>
      <c r="H11" s="8"/>
      <c r="I11" s="7"/>
      <c r="J11" s="14"/>
      <c r="K11" s="13"/>
      <c r="L11" s="7"/>
      <c r="M11" s="13"/>
      <c r="N11" s="14"/>
      <c r="O11" s="14"/>
    </row>
    <row r="12" spans="2:15">
      <c r="B12" s="8" t="s">
        <v>1437</v>
      </c>
      <c r="C12" s="38"/>
      <c r="D12" s="8"/>
      <c r="E12" s="8"/>
      <c r="F12" s="8"/>
      <c r="G12" s="38"/>
      <c r="H12" s="8"/>
      <c r="I12" s="7"/>
      <c r="J12" s="14"/>
      <c r="K12" s="13">
        <f>K14</f>
        <v>6079608.25</v>
      </c>
      <c r="L12" s="7"/>
      <c r="M12" s="13">
        <f>M14</f>
        <v>8366.2799999999988</v>
      </c>
      <c r="N12" s="14">
        <f>N14</f>
        <v>1</v>
      </c>
      <c r="O12" s="14">
        <f>O14</f>
        <v>2.300673167963457E-3</v>
      </c>
    </row>
    <row r="13" spans="2:15">
      <c r="B13" s="8"/>
      <c r="C13" s="38"/>
      <c r="D13" s="8"/>
      <c r="E13" s="8"/>
      <c r="F13" s="8"/>
      <c r="G13" s="38"/>
      <c r="H13" s="8"/>
      <c r="I13" s="7"/>
      <c r="J13" s="14"/>
      <c r="K13" s="13"/>
      <c r="L13" s="7"/>
      <c r="M13" s="13"/>
      <c r="N13" s="14"/>
      <c r="O13" s="14"/>
    </row>
    <row r="14" spans="2:15">
      <c r="B14" s="39" t="s">
        <v>1438</v>
      </c>
      <c r="C14" s="40"/>
      <c r="D14" s="39"/>
      <c r="E14" s="39"/>
      <c r="F14" s="39"/>
      <c r="G14" s="40"/>
      <c r="H14" s="39"/>
      <c r="I14" s="7"/>
      <c r="J14" s="41"/>
      <c r="K14" s="42">
        <f>SUM(K15:K20)</f>
        <v>6079608.25</v>
      </c>
      <c r="L14" s="42"/>
      <c r="M14" s="42">
        <f t="shared" ref="M14:O14" si="0">SUM(M15:M20)</f>
        <v>8366.2799999999988</v>
      </c>
      <c r="N14" s="50">
        <f t="shared" si="0"/>
        <v>1</v>
      </c>
      <c r="O14" s="50">
        <f t="shared" si="0"/>
        <v>2.300673167963457E-3</v>
      </c>
    </row>
    <row r="15" spans="2:15">
      <c r="B15" s="10" t="s">
        <v>1439</v>
      </c>
      <c r="C15" s="43" t="s">
        <v>1440</v>
      </c>
      <c r="D15" s="10">
        <v>604</v>
      </c>
      <c r="E15" s="10" t="s">
        <v>221</v>
      </c>
      <c r="F15" s="10" t="s">
        <v>95</v>
      </c>
      <c r="G15" s="43">
        <v>3.24</v>
      </c>
      <c r="H15" s="10" t="s">
        <v>96</v>
      </c>
      <c r="I15" s="44">
        <v>6.0999999999999999E-2</v>
      </c>
      <c r="J15" s="12">
        <v>8.2000000000000007E-3</v>
      </c>
      <c r="K15" s="11">
        <v>2175000</v>
      </c>
      <c r="L15" s="11">
        <v>141.71</v>
      </c>
      <c r="M15" s="11">
        <f>3082.19-0.07</f>
        <v>3082.12</v>
      </c>
      <c r="N15" s="12">
        <v>0.36840000000000001</v>
      </c>
      <c r="O15" s="12">
        <f>M15/'סכום נכסי הקרן'!$C$42</f>
        <v>8.475631683906742E-4</v>
      </c>
    </row>
    <row r="16" spans="2:15">
      <c r="B16" s="10" t="s">
        <v>1441</v>
      </c>
      <c r="C16" s="43" t="s">
        <v>1442</v>
      </c>
      <c r="D16" s="10">
        <v>604</v>
      </c>
      <c r="E16" s="10" t="s">
        <v>221</v>
      </c>
      <c r="F16" s="10" t="s">
        <v>95</v>
      </c>
      <c r="G16" s="43">
        <v>1.38</v>
      </c>
      <c r="H16" s="10" t="s">
        <v>96</v>
      </c>
      <c r="I16" s="44">
        <v>5.7500000000000002E-2</v>
      </c>
      <c r="J16" s="12">
        <v>9.5999999999999992E-3</v>
      </c>
      <c r="K16" s="11">
        <v>2150000</v>
      </c>
      <c r="L16" s="11">
        <v>132.65</v>
      </c>
      <c r="M16" s="11">
        <v>2851.97</v>
      </c>
      <c r="N16" s="12">
        <v>0.34089999999999998</v>
      </c>
      <c r="O16" s="12">
        <f>M16/'סכום נכסי הקרן'!$C$42</f>
        <v>7.8427339926905862E-4</v>
      </c>
    </row>
    <row r="17" spans="2:15">
      <c r="B17" s="10" t="s">
        <v>1443</v>
      </c>
      <c r="C17" s="43" t="s">
        <v>1444</v>
      </c>
      <c r="D17" s="10">
        <v>662</v>
      </c>
      <c r="E17" s="10" t="s">
        <v>221</v>
      </c>
      <c r="F17" s="10" t="s">
        <v>95</v>
      </c>
      <c r="G17" s="43">
        <v>0.45</v>
      </c>
      <c r="H17" s="10" t="s">
        <v>96</v>
      </c>
      <c r="I17" s="44">
        <v>5.7000000000000002E-2</v>
      </c>
      <c r="J17" s="12">
        <v>1.2999999999999999E-2</v>
      </c>
      <c r="K17" s="11">
        <v>633602.26</v>
      </c>
      <c r="L17" s="11">
        <v>130.55000000000001</v>
      </c>
      <c r="M17" s="11">
        <v>827.17</v>
      </c>
      <c r="N17" s="12">
        <v>9.8900000000000002E-2</v>
      </c>
      <c r="O17" s="12">
        <f>M17/'סכום נכסי הקרן'!$C$42</f>
        <v>2.274664276529512E-4</v>
      </c>
    </row>
    <row r="18" spans="2:15">
      <c r="B18" s="10" t="s">
        <v>1445</v>
      </c>
      <c r="C18" s="43" t="s">
        <v>1446</v>
      </c>
      <c r="D18" s="10">
        <v>662</v>
      </c>
      <c r="E18" s="10" t="s">
        <v>221</v>
      </c>
      <c r="F18" s="10" t="s">
        <v>95</v>
      </c>
      <c r="G18" s="43">
        <v>0.01</v>
      </c>
      <c r="H18" s="10" t="s">
        <v>96</v>
      </c>
      <c r="I18" s="44">
        <v>5.0500000000000003E-2</v>
      </c>
      <c r="J18" s="12">
        <v>1.41E-2</v>
      </c>
      <c r="K18" s="11">
        <v>247156.75</v>
      </c>
      <c r="L18" s="11">
        <v>135.49</v>
      </c>
      <c r="M18" s="11">
        <v>334.87</v>
      </c>
      <c r="N18" s="12">
        <v>0.04</v>
      </c>
      <c r="O18" s="12">
        <f>M18/'סכום נכסי הקרן'!$C$42</f>
        <v>9.2087095310690399E-5</v>
      </c>
    </row>
    <row r="19" spans="2:15">
      <c r="B19" s="10" t="s">
        <v>1447</v>
      </c>
      <c r="C19" s="43" t="s">
        <v>1448</v>
      </c>
      <c r="D19" s="10">
        <v>662</v>
      </c>
      <c r="E19" s="10" t="s">
        <v>221</v>
      </c>
      <c r="F19" s="10" t="s">
        <v>95</v>
      </c>
      <c r="G19" s="43">
        <v>3.18</v>
      </c>
      <c r="H19" s="10" t="s">
        <v>96</v>
      </c>
      <c r="I19" s="44">
        <v>6.2E-2</v>
      </c>
      <c r="J19" s="12">
        <v>8.0999999999999996E-3</v>
      </c>
      <c r="K19" s="11">
        <v>865954.57</v>
      </c>
      <c r="L19" s="11">
        <v>144.41</v>
      </c>
      <c r="M19" s="11">
        <v>1250.52</v>
      </c>
      <c r="N19" s="12">
        <v>0.14949999999999999</v>
      </c>
      <c r="O19" s="12">
        <f>M19/'סכום נכסי הקרן'!$C$42</f>
        <v>3.4388495364745888E-4</v>
      </c>
    </row>
    <row r="20" spans="2:15">
      <c r="B20" s="10" t="s">
        <v>1449</v>
      </c>
      <c r="C20" s="43">
        <v>7102429</v>
      </c>
      <c r="D20" s="10">
        <v>1239</v>
      </c>
      <c r="E20" s="10" t="s">
        <v>98</v>
      </c>
      <c r="F20" s="10" t="s">
        <v>95</v>
      </c>
      <c r="G20" s="43">
        <v>0.28999999999999998</v>
      </c>
      <c r="H20" s="10" t="s">
        <v>96</v>
      </c>
      <c r="I20" s="44">
        <v>4.1000000000000002E-2</v>
      </c>
      <c r="J20" s="12">
        <v>1.6500000000000001E-2</v>
      </c>
      <c r="K20" s="11">
        <v>7894.67</v>
      </c>
      <c r="L20" s="11">
        <v>248.71</v>
      </c>
      <c r="M20" s="11">
        <v>19.63</v>
      </c>
      <c r="N20" s="12">
        <v>2.3E-3</v>
      </c>
      <c r="O20" s="12">
        <f>M20/'סכום נכסי הקרן'!$C$42</f>
        <v>5.3981236926235628E-6</v>
      </c>
    </row>
    <row r="21" spans="2:15">
      <c r="B21" s="10"/>
      <c r="C21" s="43"/>
      <c r="D21" s="10"/>
      <c r="E21" s="10"/>
      <c r="F21" s="10"/>
      <c r="G21" s="43"/>
      <c r="H21" s="10"/>
      <c r="I21" s="44"/>
      <c r="J21" s="12"/>
      <c r="K21" s="11"/>
      <c r="L21" s="11"/>
      <c r="M21" s="11"/>
      <c r="N21" s="12"/>
      <c r="O21" s="12"/>
    </row>
    <row r="22" spans="2:15">
      <c r="B22" s="39" t="s">
        <v>1450</v>
      </c>
      <c r="C22" s="40"/>
      <c r="D22" s="39"/>
      <c r="E22" s="39"/>
      <c r="F22" s="39"/>
      <c r="G22" s="7"/>
      <c r="H22" s="39"/>
      <c r="I22" s="7"/>
      <c r="J22" s="7"/>
      <c r="K22" s="42">
        <v>0</v>
      </c>
      <c r="L22" s="7"/>
      <c r="M22" s="42">
        <v>0</v>
      </c>
      <c r="N22" s="41">
        <v>0</v>
      </c>
      <c r="O22" s="41">
        <v>0</v>
      </c>
    </row>
    <row r="23" spans="2:15">
      <c r="B23" s="39" t="s">
        <v>1451</v>
      </c>
      <c r="C23" s="40"/>
      <c r="D23" s="39"/>
      <c r="E23" s="39"/>
      <c r="F23" s="39"/>
      <c r="G23" s="7"/>
      <c r="H23" s="39"/>
      <c r="I23" s="7"/>
      <c r="J23" s="7"/>
      <c r="K23" s="42">
        <v>0</v>
      </c>
      <c r="L23" s="7"/>
      <c r="M23" s="42">
        <v>0</v>
      </c>
      <c r="N23" s="41">
        <v>0</v>
      </c>
      <c r="O23" s="41">
        <v>0</v>
      </c>
    </row>
    <row r="24" spans="2:15">
      <c r="B24" s="39" t="s">
        <v>1452</v>
      </c>
      <c r="C24" s="40"/>
      <c r="D24" s="39"/>
      <c r="E24" s="39"/>
      <c r="F24" s="39"/>
      <c r="G24" s="7"/>
      <c r="H24" s="39"/>
      <c r="I24" s="7"/>
      <c r="J24" s="7"/>
      <c r="K24" s="42">
        <v>0</v>
      </c>
      <c r="L24" s="7"/>
      <c r="M24" s="42">
        <v>0</v>
      </c>
      <c r="N24" s="41">
        <v>0</v>
      </c>
      <c r="O24" s="41">
        <v>0</v>
      </c>
    </row>
    <row r="25" spans="2:15">
      <c r="B25" s="39" t="s">
        <v>1453</v>
      </c>
      <c r="C25" s="40"/>
      <c r="D25" s="39"/>
      <c r="E25" s="39"/>
      <c r="F25" s="39"/>
      <c r="G25" s="7"/>
      <c r="H25" s="39"/>
      <c r="I25" s="7"/>
      <c r="J25" s="7"/>
      <c r="K25" s="42">
        <v>0</v>
      </c>
      <c r="L25" s="7"/>
      <c r="M25" s="42">
        <v>0</v>
      </c>
      <c r="N25" s="41">
        <v>0</v>
      </c>
      <c r="O25" s="41">
        <v>0</v>
      </c>
    </row>
    <row r="26" spans="2:15">
      <c r="B26" s="8" t="s">
        <v>1454</v>
      </c>
      <c r="C26" s="38"/>
      <c r="D26" s="8"/>
      <c r="E26" s="8"/>
      <c r="F26" s="8"/>
      <c r="G26" s="7"/>
      <c r="H26" s="8"/>
      <c r="I26" s="7"/>
      <c r="J26" s="7"/>
      <c r="K26" s="13">
        <v>0</v>
      </c>
      <c r="L26" s="7"/>
      <c r="M26" s="13">
        <v>0</v>
      </c>
      <c r="N26" s="14">
        <v>0</v>
      </c>
      <c r="O26" s="14">
        <v>0</v>
      </c>
    </row>
    <row r="27" spans="2:15">
      <c r="B27" s="39" t="s">
        <v>1454</v>
      </c>
      <c r="C27" s="40"/>
      <c r="D27" s="39"/>
      <c r="E27" s="39"/>
      <c r="F27" s="39"/>
      <c r="G27" s="7"/>
      <c r="H27" s="39"/>
      <c r="I27" s="7"/>
      <c r="J27" s="7"/>
      <c r="K27" s="42">
        <v>0</v>
      </c>
      <c r="L27" s="7"/>
      <c r="M27" s="42">
        <v>0</v>
      </c>
      <c r="N27" s="41">
        <v>0</v>
      </c>
      <c r="O27" s="41">
        <v>0</v>
      </c>
    </row>
    <row r="30" spans="2:15">
      <c r="B30" s="3" t="s">
        <v>121</v>
      </c>
      <c r="C30" s="5"/>
      <c r="D30" s="3"/>
      <c r="E30" s="3"/>
      <c r="F30" s="3"/>
      <c r="H30" s="3"/>
    </row>
    <row r="34" spans="2:2">
      <c r="B34" s="2" t="s">
        <v>76</v>
      </c>
    </row>
  </sheetData>
  <mergeCells count="2">
    <mergeCell ref="B6:K6"/>
    <mergeCell ref="L6:O6"/>
  </mergeCells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rightToLeft="1" zoomScale="80" zoomScaleNormal="80" workbookViewId="0">
      <selection activeCell="B34" sqref="B34"/>
    </sheetView>
  </sheetViews>
  <sheetFormatPr defaultColWidth="9.140625" defaultRowHeight="12.75"/>
  <cols>
    <col min="2" max="2" width="31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</cols>
  <sheetData>
    <row r="1" spans="2:9">
      <c r="B1" s="15" t="s">
        <v>1490</v>
      </c>
    </row>
    <row r="2" spans="2:9">
      <c r="B2" s="15" t="s">
        <v>1489</v>
      </c>
    </row>
    <row r="3" spans="2:9">
      <c r="B3" s="15" t="s">
        <v>2</v>
      </c>
    </row>
    <row r="4" spans="2:9">
      <c r="B4" s="15" t="s">
        <v>3</v>
      </c>
    </row>
    <row r="6" spans="2:9">
      <c r="B6" s="113" t="s">
        <v>1455</v>
      </c>
      <c r="C6" s="113"/>
      <c r="D6" s="113"/>
      <c r="E6" s="113"/>
      <c r="F6" s="113"/>
      <c r="G6" s="113"/>
      <c r="H6" s="113"/>
      <c r="I6" s="113"/>
    </row>
    <row r="7" spans="2:9">
      <c r="B7" s="49" t="s">
        <v>78</v>
      </c>
      <c r="C7" s="49" t="s">
        <v>1456</v>
      </c>
      <c r="D7" s="49" t="s">
        <v>1457</v>
      </c>
      <c r="E7" s="49" t="s">
        <v>1458</v>
      </c>
      <c r="F7" s="49" t="s">
        <v>83</v>
      </c>
      <c r="G7" s="49" t="s">
        <v>1459</v>
      </c>
      <c r="H7" s="49" t="s">
        <v>129</v>
      </c>
      <c r="I7" s="49" t="s">
        <v>88</v>
      </c>
    </row>
    <row r="8" spans="2:9">
      <c r="B8" s="49"/>
      <c r="C8" s="49"/>
      <c r="D8" s="49"/>
      <c r="E8" s="49" t="s">
        <v>131</v>
      </c>
      <c r="F8" s="49"/>
      <c r="G8" s="49" t="s">
        <v>90</v>
      </c>
      <c r="H8" s="49" t="s">
        <v>89</v>
      </c>
      <c r="I8" s="49" t="s">
        <v>89</v>
      </c>
    </row>
    <row r="9" spans="2:9">
      <c r="B9" s="7"/>
      <c r="C9" s="7"/>
      <c r="D9" s="7"/>
      <c r="E9" s="7"/>
      <c r="F9" s="7"/>
      <c r="G9" s="7"/>
      <c r="H9" s="7"/>
      <c r="I9" s="7"/>
    </row>
    <row r="10" spans="2:9">
      <c r="B10" s="8" t="s">
        <v>1460</v>
      </c>
      <c r="C10" s="8"/>
      <c r="D10" s="8"/>
      <c r="E10" s="7"/>
      <c r="F10" s="8"/>
      <c r="G10" s="13">
        <f>G12</f>
        <v>76253.070000000007</v>
      </c>
      <c r="H10" s="14">
        <f>H12</f>
        <v>0.99999999999999989</v>
      </c>
      <c r="I10" s="14">
        <f>I12</f>
        <v>2.0969103606840706E-2</v>
      </c>
    </row>
    <row r="11" spans="2:9">
      <c r="B11" s="8"/>
      <c r="C11" s="8"/>
      <c r="D11" s="8"/>
      <c r="E11" s="7"/>
      <c r="F11" s="8"/>
      <c r="G11" s="13"/>
      <c r="H11" s="14"/>
      <c r="I11" s="14"/>
    </row>
    <row r="12" spans="2:9">
      <c r="B12" s="8" t="s">
        <v>1461</v>
      </c>
      <c r="C12" s="8"/>
      <c r="D12" s="8"/>
      <c r="E12" s="7"/>
      <c r="F12" s="8"/>
      <c r="G12" s="13">
        <f>G14</f>
        <v>76253.070000000007</v>
      </c>
      <c r="H12" s="14">
        <f>H14</f>
        <v>0.99999999999999989</v>
      </c>
      <c r="I12" s="14">
        <f>I14</f>
        <v>2.0969103606840706E-2</v>
      </c>
    </row>
    <row r="13" spans="2:9">
      <c r="B13" s="8"/>
      <c r="C13" s="8"/>
      <c r="D13" s="8"/>
      <c r="E13" s="7"/>
      <c r="F13" s="8"/>
      <c r="G13" s="13"/>
      <c r="H13" s="14"/>
      <c r="I13" s="14"/>
    </row>
    <row r="14" spans="2:9">
      <c r="B14" s="39" t="s">
        <v>1462</v>
      </c>
      <c r="C14" s="39"/>
      <c r="D14" s="39"/>
      <c r="E14" s="7"/>
      <c r="F14" s="39"/>
      <c r="G14" s="42">
        <f>SUM(G15:G17)</f>
        <v>76253.070000000007</v>
      </c>
      <c r="H14" s="14">
        <f>SUM(H15:H17)</f>
        <v>0.99999999999999989</v>
      </c>
      <c r="I14" s="14">
        <f>SUM(I15:I17)</f>
        <v>2.0969103606840706E-2</v>
      </c>
    </row>
    <row r="15" spans="2:9">
      <c r="B15" s="10" t="s">
        <v>1531</v>
      </c>
      <c r="C15" s="10"/>
      <c r="D15" s="10"/>
      <c r="E15" s="7"/>
      <c r="F15" s="10" t="s">
        <v>96</v>
      </c>
      <c r="G15" s="11">
        <f>46142.47+0.55</f>
        <v>46143.020000000004</v>
      </c>
      <c r="H15" s="12">
        <f>60.51%+0.0001</f>
        <v>0.60519999999999996</v>
      </c>
      <c r="I15" s="12">
        <f>G15/'סכום נכסי הקרן'!$C$42</f>
        <v>1.268903359710662E-2</v>
      </c>
    </row>
    <row r="16" spans="2:9">
      <c r="B16" s="10" t="s">
        <v>1532</v>
      </c>
      <c r="C16" s="10"/>
      <c r="D16" s="10"/>
      <c r="E16" s="7"/>
      <c r="F16" s="10" t="s">
        <v>96</v>
      </c>
      <c r="G16" s="11">
        <v>117.52</v>
      </c>
      <c r="H16" s="12">
        <v>1.5E-3</v>
      </c>
      <c r="I16" s="12">
        <f>G16/'סכום נכסי הקרן'!$C$42</f>
        <v>3.2317243828686756E-5</v>
      </c>
    </row>
    <row r="17" spans="2:9">
      <c r="B17" s="10" t="s">
        <v>1533</v>
      </c>
      <c r="C17" s="10"/>
      <c r="D17" s="10"/>
      <c r="E17" s="7"/>
      <c r="F17" s="10" t="s">
        <v>96</v>
      </c>
      <c r="G17" s="11">
        <v>29992.53</v>
      </c>
      <c r="H17" s="12">
        <v>0.39329999999999998</v>
      </c>
      <c r="I17" s="12">
        <f>G17/'סכום נכסי הקרן'!$C$42</f>
        <v>8.2477527659053987E-3</v>
      </c>
    </row>
    <row r="18" spans="2:9">
      <c r="B18" s="10"/>
      <c r="C18" s="10"/>
      <c r="D18" s="10"/>
      <c r="E18" s="7"/>
      <c r="F18" s="10"/>
      <c r="G18" s="11"/>
      <c r="H18" s="12"/>
      <c r="I18" s="12"/>
    </row>
    <row r="19" spans="2:9">
      <c r="B19" s="39" t="s">
        <v>1463</v>
      </c>
      <c r="C19" s="39"/>
      <c r="D19" s="39"/>
      <c r="E19" s="7"/>
      <c r="F19" s="39"/>
      <c r="G19" s="42">
        <v>0</v>
      </c>
      <c r="H19" s="41">
        <v>0</v>
      </c>
      <c r="I19" s="41">
        <v>0</v>
      </c>
    </row>
    <row r="20" spans="2:9">
      <c r="B20" s="8" t="s">
        <v>1464</v>
      </c>
      <c r="C20" s="8"/>
      <c r="D20" s="8"/>
      <c r="E20" s="7"/>
      <c r="F20" s="8"/>
      <c r="G20" s="13">
        <v>0</v>
      </c>
      <c r="H20" s="14">
        <v>0</v>
      </c>
      <c r="I20" s="14">
        <v>0</v>
      </c>
    </row>
    <row r="21" spans="2:9">
      <c r="B21" s="39" t="s">
        <v>1465</v>
      </c>
      <c r="C21" s="39"/>
      <c r="D21" s="39"/>
      <c r="E21" s="7"/>
      <c r="F21" s="39"/>
      <c r="G21" s="42">
        <v>0</v>
      </c>
      <c r="H21" s="41">
        <v>0</v>
      </c>
      <c r="I21" s="41">
        <v>0</v>
      </c>
    </row>
    <row r="22" spans="2:9">
      <c r="B22" s="39" t="s">
        <v>1466</v>
      </c>
      <c r="C22" s="39"/>
      <c r="D22" s="39"/>
      <c r="E22" s="7"/>
      <c r="F22" s="39"/>
      <c r="G22" s="42">
        <v>0</v>
      </c>
      <c r="H22" s="41">
        <v>0</v>
      </c>
      <c r="I22" s="41">
        <v>0</v>
      </c>
    </row>
    <row r="25" spans="2:9">
      <c r="B25" s="3" t="s">
        <v>121</v>
      </c>
      <c r="C25" s="3"/>
      <c r="D25" s="3"/>
      <c r="F25" s="3"/>
    </row>
    <row r="29" spans="2:9">
      <c r="B29" s="2" t="s">
        <v>76</v>
      </c>
    </row>
  </sheetData>
  <mergeCells count="1">
    <mergeCell ref="B6:I6"/>
  </mergeCell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>
      <selection activeCell="B6" sqref="B6:L8"/>
    </sheetView>
  </sheetViews>
  <sheetFormatPr defaultColWidth="9.140625" defaultRowHeight="12.75"/>
  <cols>
    <col min="1" max="1" width="5.28515625" customWidth="1"/>
    <col min="2" max="2" width="28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7.7109375" customWidth="1"/>
    <col min="11" max="11" width="20.7109375" customWidth="1"/>
  </cols>
  <sheetData>
    <row r="1" spans="2:12">
      <c r="B1" s="15" t="s">
        <v>1490</v>
      </c>
    </row>
    <row r="2" spans="2:12">
      <c r="B2" s="15" t="s">
        <v>1489</v>
      </c>
    </row>
    <row r="3" spans="2:12">
      <c r="B3" s="15" t="s">
        <v>2</v>
      </c>
    </row>
    <row r="4" spans="2:12">
      <c r="B4" s="15" t="s">
        <v>3</v>
      </c>
    </row>
    <row r="6" spans="2:12">
      <c r="B6" s="113" t="s">
        <v>1467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2:12">
      <c r="B7" s="49" t="s">
        <v>78</v>
      </c>
      <c r="C7" s="49" t="s">
        <v>80</v>
      </c>
      <c r="D7" s="49" t="s">
        <v>81</v>
      </c>
      <c r="E7" s="49" t="s">
        <v>82</v>
      </c>
      <c r="F7" s="49" t="s">
        <v>83</v>
      </c>
      <c r="G7" s="49" t="s">
        <v>84</v>
      </c>
      <c r="H7" s="49" t="s">
        <v>85</v>
      </c>
      <c r="I7" s="49" t="s">
        <v>1201</v>
      </c>
      <c r="J7" s="49" t="s">
        <v>129</v>
      </c>
      <c r="K7" s="49" t="s">
        <v>88</v>
      </c>
      <c r="L7" s="49"/>
    </row>
    <row r="8" spans="2:12">
      <c r="B8" s="49"/>
      <c r="C8" s="49"/>
      <c r="D8" s="49"/>
      <c r="E8" s="49"/>
      <c r="F8" s="49"/>
      <c r="G8" s="49" t="s">
        <v>89</v>
      </c>
      <c r="H8" s="49" t="s">
        <v>89</v>
      </c>
      <c r="I8" s="49" t="s">
        <v>90</v>
      </c>
      <c r="J8" s="49" t="s">
        <v>89</v>
      </c>
      <c r="K8" s="49" t="s">
        <v>89</v>
      </c>
      <c r="L8" s="49"/>
    </row>
    <row r="9" spans="2:12"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2:12">
      <c r="B10" s="8" t="s">
        <v>1468</v>
      </c>
      <c r="C10" s="8"/>
      <c r="D10" s="8"/>
      <c r="E10" s="8"/>
      <c r="F10" s="8"/>
      <c r="G10" s="7"/>
      <c r="H10" s="7"/>
      <c r="I10" s="13">
        <v>0</v>
      </c>
      <c r="J10" s="14">
        <v>0</v>
      </c>
      <c r="K10" s="14">
        <v>0</v>
      </c>
      <c r="L10" s="7"/>
    </row>
    <row r="11" spans="2:12">
      <c r="B11" s="8" t="s">
        <v>1469</v>
      </c>
      <c r="C11" s="8"/>
      <c r="D11" s="8"/>
      <c r="E11" s="8"/>
      <c r="F11" s="8"/>
      <c r="G11" s="7"/>
      <c r="H11" s="7"/>
      <c r="I11" s="13">
        <v>0</v>
      </c>
      <c r="J11" s="14">
        <v>0</v>
      </c>
      <c r="K11" s="14">
        <v>0</v>
      </c>
      <c r="L11" s="7"/>
    </row>
    <row r="12" spans="2:12">
      <c r="B12" s="39" t="s">
        <v>1470</v>
      </c>
      <c r="C12" s="39"/>
      <c r="D12" s="39"/>
      <c r="E12" s="39"/>
      <c r="F12" s="39"/>
      <c r="G12" s="7"/>
      <c r="H12" s="7"/>
      <c r="I12" s="42">
        <v>0</v>
      </c>
      <c r="J12" s="41">
        <v>0</v>
      </c>
      <c r="K12" s="41">
        <v>0</v>
      </c>
      <c r="L12" s="7"/>
    </row>
    <row r="13" spans="2:12">
      <c r="B13" s="8" t="s">
        <v>1469</v>
      </c>
      <c r="C13" s="8"/>
      <c r="D13" s="8"/>
      <c r="E13" s="8"/>
      <c r="F13" s="8"/>
      <c r="G13" s="7"/>
      <c r="H13" s="7"/>
      <c r="I13" s="13">
        <v>0</v>
      </c>
      <c r="J13" s="14">
        <v>0</v>
      </c>
      <c r="K13" s="14">
        <v>0</v>
      </c>
      <c r="L13" s="7"/>
    </row>
    <row r="14" spans="2:12">
      <c r="B14" s="39" t="s">
        <v>1471</v>
      </c>
      <c r="C14" s="39"/>
      <c r="D14" s="39"/>
      <c r="E14" s="39"/>
      <c r="F14" s="39"/>
      <c r="G14" s="7"/>
      <c r="H14" s="7"/>
      <c r="I14" s="42">
        <v>0</v>
      </c>
      <c r="J14" s="41">
        <v>0</v>
      </c>
      <c r="K14" s="41">
        <v>0</v>
      </c>
      <c r="L14" s="7"/>
    </row>
    <row r="17" spans="2:6">
      <c r="B17" s="3" t="s">
        <v>121</v>
      </c>
      <c r="C17" s="3"/>
      <c r="D17" s="3"/>
      <c r="E17" s="3"/>
      <c r="F17" s="3"/>
    </row>
    <row r="21" spans="2:6">
      <c r="B21" s="2" t="s">
        <v>76</v>
      </c>
    </row>
  </sheetData>
  <mergeCells count="2">
    <mergeCell ref="B6:I6"/>
    <mergeCell ref="J6:L6"/>
  </mergeCells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rightToLeft="1" topLeftCell="B1" workbookViewId="0">
      <selection activeCell="F30" sqref="F30"/>
    </sheetView>
  </sheetViews>
  <sheetFormatPr defaultColWidth="9.140625" defaultRowHeight="12.75"/>
  <cols>
    <col min="2" max="2" width="28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8.7109375" customWidth="1"/>
    <col min="11" max="11" width="20.7109375" customWidth="1"/>
  </cols>
  <sheetData>
    <row r="1" spans="2:11">
      <c r="B1" s="15" t="s">
        <v>1490</v>
      </c>
    </row>
    <row r="2" spans="2:11">
      <c r="B2" s="15" t="s">
        <v>1489</v>
      </c>
    </row>
    <row r="3" spans="2:11">
      <c r="B3" s="15" t="s">
        <v>2</v>
      </c>
    </row>
    <row r="4" spans="2:11">
      <c r="B4" s="15" t="s">
        <v>3</v>
      </c>
    </row>
    <row r="6" spans="2:11">
      <c r="B6" s="113" t="s">
        <v>1472</v>
      </c>
      <c r="C6" s="113"/>
      <c r="D6" s="113"/>
      <c r="E6" s="113"/>
      <c r="F6" s="113"/>
      <c r="G6" s="113"/>
      <c r="H6" s="113"/>
      <c r="I6" s="113"/>
      <c r="J6" s="113"/>
      <c r="K6" s="113"/>
    </row>
    <row r="7" spans="2:11">
      <c r="B7" s="49" t="s">
        <v>78</v>
      </c>
      <c r="C7" s="49" t="s">
        <v>79</v>
      </c>
      <c r="D7" s="49" t="s">
        <v>81</v>
      </c>
      <c r="E7" s="49" t="s">
        <v>82</v>
      </c>
      <c r="F7" s="49" t="s">
        <v>83</v>
      </c>
      <c r="G7" s="49" t="s">
        <v>84</v>
      </c>
      <c r="H7" s="49" t="s">
        <v>85</v>
      </c>
      <c r="I7" s="49" t="s">
        <v>1201</v>
      </c>
      <c r="J7" s="49" t="s">
        <v>87</v>
      </c>
      <c r="K7" s="49" t="s">
        <v>88</v>
      </c>
    </row>
    <row r="8" spans="2:11">
      <c r="B8" s="49"/>
      <c r="C8" s="49"/>
      <c r="D8" s="49"/>
      <c r="E8" s="49"/>
      <c r="F8" s="49"/>
      <c r="G8" s="49" t="s">
        <v>89</v>
      </c>
      <c r="H8" s="49" t="s">
        <v>89</v>
      </c>
      <c r="I8" s="49" t="s">
        <v>90</v>
      </c>
      <c r="J8" s="49" t="s">
        <v>89</v>
      </c>
      <c r="K8" s="49" t="s">
        <v>89</v>
      </c>
    </row>
    <row r="9" spans="2:11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>
      <c r="B10" s="8" t="s">
        <v>1473</v>
      </c>
      <c r="C10" s="38"/>
      <c r="D10" s="8"/>
      <c r="E10" s="8"/>
      <c r="F10" s="8"/>
      <c r="G10" s="7"/>
      <c r="H10" s="7"/>
      <c r="I10" s="13">
        <f>I12</f>
        <v>11200.6</v>
      </c>
      <c r="J10" s="14">
        <f>J12</f>
        <v>0.56369999999999998</v>
      </c>
      <c r="K10" s="14">
        <f>K12</f>
        <v>3.0800929307997697E-3</v>
      </c>
    </row>
    <row r="11" spans="2:11">
      <c r="B11" s="8"/>
      <c r="C11" s="38"/>
      <c r="D11" s="8"/>
      <c r="E11" s="8"/>
      <c r="F11" s="8"/>
      <c r="G11" s="7"/>
      <c r="H11" s="7"/>
      <c r="I11" s="13"/>
      <c r="J11" s="14"/>
      <c r="K11" s="14"/>
    </row>
    <row r="12" spans="2:11">
      <c r="B12" s="8" t="s">
        <v>1474</v>
      </c>
      <c r="C12" s="38"/>
      <c r="D12" s="8"/>
      <c r="E12" s="8"/>
      <c r="F12" s="8"/>
      <c r="G12" s="7"/>
      <c r="H12" s="7"/>
      <c r="I12" s="13">
        <f>I14</f>
        <v>11200.6</v>
      </c>
      <c r="J12" s="14">
        <f>J14</f>
        <v>0.56369999999999998</v>
      </c>
      <c r="K12" s="14">
        <f>K14</f>
        <v>3.0800929307997697E-3</v>
      </c>
    </row>
    <row r="13" spans="2:11">
      <c r="B13" s="8"/>
      <c r="C13" s="38"/>
      <c r="D13" s="8"/>
      <c r="E13" s="8"/>
      <c r="F13" s="8"/>
      <c r="G13" s="7"/>
      <c r="H13" s="7"/>
      <c r="I13" s="13"/>
      <c r="J13" s="14"/>
      <c r="K13" s="14"/>
    </row>
    <row r="14" spans="2:11">
      <c r="B14" s="39" t="s">
        <v>1474</v>
      </c>
      <c r="C14" s="40"/>
      <c r="D14" s="39"/>
      <c r="E14" s="39"/>
      <c r="F14" s="39"/>
      <c r="G14" s="7"/>
      <c r="H14" s="7"/>
      <c r="I14" s="42">
        <f>SUM(I15:I15)</f>
        <v>11200.6</v>
      </c>
      <c r="J14" s="14">
        <f>SUM(J15:J15)</f>
        <v>0.56369999999999998</v>
      </c>
      <c r="K14" s="14">
        <f>SUM(K15:K15)</f>
        <v>3.0800929307997697E-3</v>
      </c>
    </row>
    <row r="15" spans="2:11">
      <c r="B15" s="10" t="s">
        <v>1530</v>
      </c>
      <c r="C15" s="43"/>
      <c r="D15" s="10"/>
      <c r="E15" s="10"/>
      <c r="F15" s="10" t="s">
        <v>96</v>
      </c>
      <c r="G15" s="7"/>
      <c r="H15" s="7"/>
      <c r="I15" s="11">
        <f>237.96+4683.01+107.41+6172.22</f>
        <v>11200.6</v>
      </c>
      <c r="J15" s="12">
        <v>0.56369999999999998</v>
      </c>
      <c r="K15" s="12">
        <f>I15/'סכום נכסי הקרן'!$C$42</f>
        <v>3.0800929307997697E-3</v>
      </c>
    </row>
    <row r="16" spans="2:11">
      <c r="B16" s="10"/>
      <c r="C16" s="43"/>
      <c r="D16" s="10"/>
      <c r="E16" s="10"/>
      <c r="F16" s="10"/>
      <c r="G16" s="7"/>
      <c r="H16" s="7"/>
      <c r="I16" s="11"/>
      <c r="J16" s="12"/>
      <c r="K16" s="12"/>
    </row>
    <row r="17" spans="2:11">
      <c r="B17" s="8" t="s">
        <v>1475</v>
      </c>
      <c r="C17" s="38"/>
      <c r="D17" s="8"/>
      <c r="E17" s="8"/>
      <c r="F17" s="8"/>
      <c r="G17" s="7"/>
      <c r="H17" s="7"/>
      <c r="I17" s="13">
        <v>0</v>
      </c>
      <c r="J17" s="14">
        <v>0</v>
      </c>
      <c r="K17" s="14">
        <v>0</v>
      </c>
    </row>
    <row r="18" spans="2:11">
      <c r="B18" s="39" t="s">
        <v>1475</v>
      </c>
      <c r="C18" s="40"/>
      <c r="D18" s="39"/>
      <c r="E18" s="39"/>
      <c r="F18" s="39"/>
      <c r="G18" s="7"/>
      <c r="H18" s="7"/>
      <c r="I18" s="42">
        <v>0</v>
      </c>
      <c r="J18" s="41">
        <v>0</v>
      </c>
      <c r="K18" s="41">
        <v>0</v>
      </c>
    </row>
    <row r="21" spans="2:11">
      <c r="B21" s="3" t="s">
        <v>121</v>
      </c>
      <c r="C21" s="5"/>
      <c r="D21" s="3"/>
      <c r="E21" s="3"/>
      <c r="F21" s="3"/>
    </row>
    <row r="25" spans="2:11">
      <c r="B25" s="2" t="s">
        <v>76</v>
      </c>
    </row>
  </sheetData>
  <mergeCells count="2">
    <mergeCell ref="B6:I6"/>
    <mergeCell ref="J6:K6"/>
  </mergeCells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rightToLeft="1" topLeftCell="A16" workbookViewId="0">
      <selection activeCell="D16" sqref="D16"/>
    </sheetView>
  </sheetViews>
  <sheetFormatPr defaultColWidth="9.140625" defaultRowHeight="12.75"/>
  <cols>
    <col min="2" max="2" width="38.7109375" customWidth="1"/>
    <col min="3" max="3" width="24.7109375" customWidth="1"/>
    <col min="4" max="4" width="12.7109375" customWidth="1"/>
  </cols>
  <sheetData>
    <row r="1" spans="2:4">
      <c r="B1" s="15" t="s">
        <v>1488</v>
      </c>
    </row>
    <row r="2" spans="2:4">
      <c r="B2" s="15" t="s">
        <v>1489</v>
      </c>
    </row>
    <row r="3" spans="2:4">
      <c r="B3" s="15" t="s">
        <v>2</v>
      </c>
    </row>
    <row r="4" spans="2:4">
      <c r="B4" s="15" t="s">
        <v>3</v>
      </c>
    </row>
    <row r="6" spans="2:4" ht="13.5" thickBot="1">
      <c r="B6" s="16" t="s">
        <v>1476</v>
      </c>
      <c r="C6" s="17"/>
      <c r="D6" s="17"/>
    </row>
    <row r="7" spans="2:4">
      <c r="B7" s="18" t="s">
        <v>78</v>
      </c>
      <c r="C7" s="19" t="s">
        <v>1477</v>
      </c>
      <c r="D7" s="20" t="s">
        <v>1201</v>
      </c>
    </row>
    <row r="8" spans="2:4" ht="13.5" thickBot="1">
      <c r="B8" s="21"/>
      <c r="C8" s="22" t="s">
        <v>130</v>
      </c>
      <c r="D8" s="23" t="s">
        <v>90</v>
      </c>
    </row>
    <row r="9" spans="2:4">
      <c r="B9" s="24"/>
      <c r="C9" s="24"/>
      <c r="D9" s="24"/>
    </row>
    <row r="10" spans="2:4">
      <c r="B10" s="25" t="s">
        <v>1478</v>
      </c>
      <c r="C10" s="25"/>
      <c r="D10" s="26">
        <f>D11+D29</f>
        <v>60600.611999999994</v>
      </c>
    </row>
    <row r="11" spans="2:4">
      <c r="B11" s="25" t="s">
        <v>1479</v>
      </c>
      <c r="C11" s="25"/>
      <c r="D11" s="26">
        <f>D13+D14+D15+D16+D17+D18+D19+D20+D21+D22+D23+D24+D25+D26+D27</f>
        <v>60600.611999999994</v>
      </c>
    </row>
    <row r="12" spans="2:4">
      <c r="B12" s="27" t="s">
        <v>1480</v>
      </c>
      <c r="C12" s="27"/>
      <c r="D12" s="28"/>
    </row>
    <row r="13" spans="2:4">
      <c r="B13" s="29" t="s">
        <v>1360</v>
      </c>
      <c r="C13" s="30">
        <v>42641</v>
      </c>
      <c r="D13" s="31">
        <f>438+45.767+443.04</f>
        <v>926.80700000000002</v>
      </c>
    </row>
    <row r="14" spans="2:4">
      <c r="B14" s="29" t="s">
        <v>1350</v>
      </c>
      <c r="C14" s="30">
        <v>42278</v>
      </c>
      <c r="D14" s="31">
        <f>2749.34+387.422+3282.89+285.466+142.734</f>
        <v>6847.8520000000008</v>
      </c>
    </row>
    <row r="15" spans="2:4">
      <c r="B15" s="29" t="s">
        <v>1357</v>
      </c>
      <c r="C15" s="32" t="s">
        <v>1491</v>
      </c>
      <c r="D15" s="31">
        <f>1923.21+261.556+1969.37+1.15</f>
        <v>4155.2860000000001</v>
      </c>
    </row>
    <row r="16" spans="2:4">
      <c r="B16" s="29" t="s">
        <v>1339</v>
      </c>
      <c r="C16" s="32" t="s">
        <v>1491</v>
      </c>
      <c r="D16" s="31">
        <f>2307+307.6+2368.52</f>
        <v>4983.12</v>
      </c>
    </row>
    <row r="17" spans="2:4">
      <c r="B17" s="29" t="s">
        <v>1492</v>
      </c>
      <c r="C17" s="32" t="s">
        <v>1493</v>
      </c>
      <c r="D17" s="31">
        <f>1213+1215.426+163.62</f>
        <v>2592.0459999999998</v>
      </c>
    </row>
    <row r="18" spans="2:4">
      <c r="B18" s="29" t="s">
        <v>1352</v>
      </c>
      <c r="C18" s="30">
        <v>44074</v>
      </c>
      <c r="D18" s="31">
        <f>694+105.364+844.672</f>
        <v>1644.0360000000001</v>
      </c>
    </row>
    <row r="19" spans="2:4">
      <c r="B19" s="29" t="s">
        <v>1494</v>
      </c>
      <c r="C19" s="30">
        <v>43496</v>
      </c>
      <c r="D19" s="31">
        <f>305+366.048+34.065</f>
        <v>705.11300000000006</v>
      </c>
    </row>
    <row r="20" spans="2:4">
      <c r="B20" s="29" t="s">
        <v>1345</v>
      </c>
      <c r="C20" s="32" t="s">
        <v>1495</v>
      </c>
      <c r="D20" s="31">
        <f>2723+379.607+2937.83</f>
        <v>6040.4369999999999</v>
      </c>
    </row>
    <row r="21" spans="2:4">
      <c r="B21" s="29" t="s">
        <v>1496</v>
      </c>
      <c r="C21" s="33">
        <v>44256</v>
      </c>
      <c r="D21" s="31">
        <f>963.21+124.434+917.129</f>
        <v>2004.7730000000001</v>
      </c>
    </row>
    <row r="22" spans="2:4">
      <c r="B22" s="34" t="s">
        <v>1497</v>
      </c>
      <c r="C22" s="33">
        <v>46174</v>
      </c>
      <c r="D22" s="31">
        <f>5672+745.096+5545</f>
        <v>11962.096</v>
      </c>
    </row>
    <row r="23" spans="2:4">
      <c r="B23" s="34" t="s">
        <v>1498</v>
      </c>
      <c r="C23" s="33">
        <v>44256</v>
      </c>
      <c r="D23" s="31">
        <f>1006.16+131.648+959.148</f>
        <v>2096.9560000000001</v>
      </c>
    </row>
    <row r="24" spans="2:4">
      <c r="B24" s="32" t="s">
        <v>1333</v>
      </c>
      <c r="C24" s="33">
        <v>45712</v>
      </c>
      <c r="D24" s="31">
        <f>2463+328.209+2442.959</f>
        <v>5234.1679999999997</v>
      </c>
    </row>
    <row r="25" spans="2:4">
      <c r="B25" s="32" t="s">
        <v>1342</v>
      </c>
      <c r="C25" s="33">
        <v>43496</v>
      </c>
      <c r="D25" s="31">
        <f>364.08+50.97+382.614</f>
        <v>797.66399999999999</v>
      </c>
    </row>
    <row r="26" spans="2:4">
      <c r="B26" s="34" t="s">
        <v>1499</v>
      </c>
      <c r="C26" s="33">
        <v>45838</v>
      </c>
      <c r="D26" s="31">
        <f>3138+397+2848</f>
        <v>6383</v>
      </c>
    </row>
    <row r="27" spans="2:4">
      <c r="B27" s="35" t="s">
        <v>1337</v>
      </c>
      <c r="C27" s="30">
        <v>46652</v>
      </c>
      <c r="D27" s="31">
        <f>1880+266.459+2080.799</f>
        <v>4227.2579999999998</v>
      </c>
    </row>
    <row r="28" spans="2:4">
      <c r="B28" s="34"/>
      <c r="C28" s="36"/>
      <c r="D28" s="37"/>
    </row>
    <row r="29" spans="2:4">
      <c r="B29" s="25" t="s">
        <v>1481</v>
      </c>
      <c r="C29" s="25"/>
      <c r="D29" s="26">
        <f>D30</f>
        <v>0</v>
      </c>
    </row>
    <row r="30" spans="2:4">
      <c r="B30" s="27" t="s">
        <v>1482</v>
      </c>
      <c r="C30" s="27"/>
      <c r="D30" s="28">
        <f>D31</f>
        <v>0</v>
      </c>
    </row>
    <row r="31" spans="2:4">
      <c r="B31" s="35" t="s">
        <v>1366</v>
      </c>
      <c r="C31" s="30">
        <v>45107</v>
      </c>
      <c r="D31" s="31"/>
    </row>
  </sheetData>
  <dataValidations count="1">
    <dataValidation allowBlank="1" showInputMessage="1" showErrorMessage="1" sqref="B22:B23 B28 B26"/>
  </dataValidations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rightToLeft="1" workbookViewId="0">
      <selection activeCell="B6" sqref="B6:P8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7.7109375" customWidth="1"/>
    <col min="16" max="16" width="20.7109375" customWidth="1"/>
  </cols>
  <sheetData>
    <row r="1" spans="2:16">
      <c r="B1" s="15" t="s">
        <v>1490</v>
      </c>
    </row>
    <row r="2" spans="2:16">
      <c r="B2" s="15" t="s">
        <v>1489</v>
      </c>
    </row>
    <row r="3" spans="2:16">
      <c r="B3" s="15" t="s">
        <v>2</v>
      </c>
    </row>
    <row r="4" spans="2:16">
      <c r="B4" s="15" t="s">
        <v>3</v>
      </c>
    </row>
    <row r="6" spans="2:16">
      <c r="B6" s="113" t="s">
        <v>1483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2:16">
      <c r="B7" s="49" t="s">
        <v>78</v>
      </c>
      <c r="C7" s="49" t="s">
        <v>79</v>
      </c>
      <c r="D7" s="49" t="s">
        <v>205</v>
      </c>
      <c r="E7" s="49" t="s">
        <v>81</v>
      </c>
      <c r="F7" s="49" t="s">
        <v>82</v>
      </c>
      <c r="G7" s="49" t="s">
        <v>125</v>
      </c>
      <c r="H7" s="49" t="s">
        <v>126</v>
      </c>
      <c r="I7" s="49" t="s">
        <v>83</v>
      </c>
      <c r="J7" s="49" t="s">
        <v>84</v>
      </c>
      <c r="K7" s="49" t="s">
        <v>1484</v>
      </c>
      <c r="L7" s="49" t="s">
        <v>127</v>
      </c>
      <c r="M7" s="49" t="s">
        <v>1485</v>
      </c>
      <c r="N7" s="49" t="s">
        <v>128</v>
      </c>
      <c r="O7" s="49" t="s">
        <v>129</v>
      </c>
      <c r="P7" s="49" t="s">
        <v>88</v>
      </c>
    </row>
    <row r="8" spans="2:16">
      <c r="B8" s="49"/>
      <c r="C8" s="49"/>
      <c r="D8" s="49"/>
      <c r="E8" s="49"/>
      <c r="F8" s="49"/>
      <c r="G8" s="49" t="s">
        <v>130</v>
      </c>
      <c r="H8" s="49" t="s">
        <v>131</v>
      </c>
      <c r="I8" s="49"/>
      <c r="J8" s="49" t="s">
        <v>89</v>
      </c>
      <c r="K8" s="49" t="s">
        <v>89</v>
      </c>
      <c r="L8" s="49" t="s">
        <v>132</v>
      </c>
      <c r="M8" s="49" t="s">
        <v>90</v>
      </c>
      <c r="N8" s="49" t="s">
        <v>89</v>
      </c>
      <c r="O8" s="49" t="s">
        <v>89</v>
      </c>
      <c r="P8" s="49" t="s">
        <v>89</v>
      </c>
    </row>
    <row r="9" spans="2:16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2:16">
      <c r="B10" s="8" t="s">
        <v>216</v>
      </c>
      <c r="C10" s="38"/>
      <c r="D10" s="8"/>
      <c r="E10" s="8"/>
      <c r="F10" s="8"/>
      <c r="G10" s="8"/>
      <c r="H10" s="7"/>
      <c r="I10" s="8"/>
      <c r="J10" s="7"/>
      <c r="K10" s="7"/>
      <c r="L10" s="13">
        <v>0</v>
      </c>
      <c r="M10" s="13">
        <v>0</v>
      </c>
      <c r="N10" s="7"/>
      <c r="O10" s="14">
        <v>0</v>
      </c>
      <c r="P10" s="14">
        <v>0</v>
      </c>
    </row>
    <row r="11" spans="2:16">
      <c r="B11" s="8" t="s">
        <v>217</v>
      </c>
      <c r="C11" s="38"/>
      <c r="D11" s="8"/>
      <c r="E11" s="8"/>
      <c r="F11" s="8"/>
      <c r="G11" s="8"/>
      <c r="H11" s="7"/>
      <c r="I11" s="8"/>
      <c r="J11" s="7"/>
      <c r="K11" s="7"/>
      <c r="L11" s="13">
        <v>0</v>
      </c>
      <c r="M11" s="13">
        <v>0</v>
      </c>
      <c r="N11" s="7"/>
      <c r="O11" s="14">
        <v>0</v>
      </c>
      <c r="P11" s="14">
        <v>0</v>
      </c>
    </row>
    <row r="12" spans="2:16">
      <c r="B12" s="39" t="s">
        <v>218</v>
      </c>
      <c r="C12" s="40"/>
      <c r="D12" s="39"/>
      <c r="E12" s="39"/>
      <c r="F12" s="39"/>
      <c r="G12" s="39"/>
      <c r="H12" s="7"/>
      <c r="I12" s="39"/>
      <c r="J12" s="7"/>
      <c r="K12" s="7"/>
      <c r="L12" s="42">
        <v>0</v>
      </c>
      <c r="M12" s="42">
        <v>0</v>
      </c>
      <c r="N12" s="7"/>
      <c r="O12" s="41">
        <v>0</v>
      </c>
      <c r="P12" s="41">
        <v>0</v>
      </c>
    </row>
    <row r="13" spans="2:16">
      <c r="B13" s="39" t="s">
        <v>417</v>
      </c>
      <c r="C13" s="40"/>
      <c r="D13" s="39"/>
      <c r="E13" s="39"/>
      <c r="F13" s="39"/>
      <c r="G13" s="39"/>
      <c r="H13" s="7"/>
      <c r="I13" s="39"/>
      <c r="J13" s="7"/>
      <c r="K13" s="7"/>
      <c r="L13" s="42">
        <v>0</v>
      </c>
      <c r="M13" s="42">
        <v>0</v>
      </c>
      <c r="N13" s="7"/>
      <c r="O13" s="41">
        <v>0</v>
      </c>
      <c r="P13" s="41">
        <v>0</v>
      </c>
    </row>
    <row r="14" spans="2:16">
      <c r="B14" s="39" t="s">
        <v>510</v>
      </c>
      <c r="C14" s="40"/>
      <c r="D14" s="39"/>
      <c r="E14" s="39"/>
      <c r="F14" s="39"/>
      <c r="G14" s="39"/>
      <c r="H14" s="7"/>
      <c r="I14" s="39"/>
      <c r="J14" s="7"/>
      <c r="K14" s="7"/>
      <c r="L14" s="42">
        <v>0</v>
      </c>
      <c r="M14" s="42">
        <v>0</v>
      </c>
      <c r="N14" s="7"/>
      <c r="O14" s="41">
        <v>0</v>
      </c>
      <c r="P14" s="41">
        <v>0</v>
      </c>
    </row>
    <row r="15" spans="2:16">
      <c r="B15" s="39" t="s">
        <v>515</v>
      </c>
      <c r="C15" s="40"/>
      <c r="D15" s="39"/>
      <c r="E15" s="39"/>
      <c r="F15" s="39"/>
      <c r="G15" s="39"/>
      <c r="H15" s="7"/>
      <c r="I15" s="39"/>
      <c r="J15" s="7"/>
      <c r="K15" s="7"/>
      <c r="L15" s="42">
        <v>0</v>
      </c>
      <c r="M15" s="42">
        <v>0</v>
      </c>
      <c r="N15" s="7"/>
      <c r="O15" s="41">
        <v>0</v>
      </c>
      <c r="P15" s="41">
        <v>0</v>
      </c>
    </row>
    <row r="16" spans="2:16">
      <c r="B16" s="8" t="s">
        <v>1469</v>
      </c>
      <c r="C16" s="38"/>
      <c r="D16" s="8"/>
      <c r="E16" s="8"/>
      <c r="F16" s="8"/>
      <c r="G16" s="8"/>
      <c r="H16" s="7"/>
      <c r="I16" s="8"/>
      <c r="J16" s="7"/>
      <c r="K16" s="7"/>
      <c r="L16" s="13">
        <v>0</v>
      </c>
      <c r="M16" s="13">
        <v>0</v>
      </c>
      <c r="N16" s="7"/>
      <c r="O16" s="14">
        <v>0</v>
      </c>
      <c r="P16" s="14">
        <v>0</v>
      </c>
    </row>
    <row r="19" spans="2:9">
      <c r="B19" s="3" t="s">
        <v>121</v>
      </c>
      <c r="C19" s="5"/>
      <c r="D19" s="3"/>
      <c r="E19" s="3"/>
      <c r="F19" s="3"/>
      <c r="G19" s="3"/>
      <c r="I19" s="3"/>
    </row>
    <row r="23" spans="2:9">
      <c r="B23" s="2" t="s">
        <v>76</v>
      </c>
    </row>
  </sheetData>
  <mergeCells count="3">
    <mergeCell ref="B6:I6"/>
    <mergeCell ref="J6:K6"/>
    <mergeCell ref="L6:P6"/>
  </mergeCells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rightToLeft="1" workbookViewId="0">
      <selection activeCell="B6" sqref="B6:P8"/>
    </sheetView>
  </sheetViews>
  <sheetFormatPr defaultColWidth="9.140625" defaultRowHeight="12.75"/>
  <cols>
    <col min="1" max="1" width="4.5703125" customWidth="1"/>
    <col min="2" max="2" width="35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7.7109375" customWidth="1"/>
    <col min="16" max="16" width="20.7109375" customWidth="1"/>
  </cols>
  <sheetData>
    <row r="1" spans="2:16">
      <c r="B1" s="15" t="s">
        <v>1490</v>
      </c>
    </row>
    <row r="2" spans="2:16">
      <c r="B2" s="15" t="s">
        <v>1489</v>
      </c>
    </row>
    <row r="3" spans="2:16">
      <c r="B3" s="15" t="s">
        <v>2</v>
      </c>
    </row>
    <row r="4" spans="2:16">
      <c r="B4" s="15" t="s">
        <v>3</v>
      </c>
    </row>
    <row r="6" spans="2:16">
      <c r="B6" s="113" t="s">
        <v>1486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2:16">
      <c r="B7" s="49" t="s">
        <v>78</v>
      </c>
      <c r="C7" s="49" t="s">
        <v>79</v>
      </c>
      <c r="D7" s="49" t="s">
        <v>205</v>
      </c>
      <c r="E7" s="49" t="s">
        <v>81</v>
      </c>
      <c r="F7" s="49" t="s">
        <v>82</v>
      </c>
      <c r="G7" s="49" t="s">
        <v>125</v>
      </c>
      <c r="H7" s="49" t="s">
        <v>126</v>
      </c>
      <c r="I7" s="49" t="s">
        <v>83</v>
      </c>
      <c r="J7" s="49" t="s">
        <v>84</v>
      </c>
      <c r="K7" s="49" t="s">
        <v>1484</v>
      </c>
      <c r="L7" s="49" t="s">
        <v>127</v>
      </c>
      <c r="M7" s="49" t="s">
        <v>1485</v>
      </c>
      <c r="N7" s="49" t="s">
        <v>128</v>
      </c>
      <c r="O7" s="49" t="s">
        <v>129</v>
      </c>
      <c r="P7" s="49" t="s">
        <v>88</v>
      </c>
    </row>
    <row r="8" spans="2:16">
      <c r="B8" s="49"/>
      <c r="C8" s="49"/>
      <c r="D8" s="49"/>
      <c r="E8" s="49"/>
      <c r="F8" s="49"/>
      <c r="G8" s="49" t="s">
        <v>130</v>
      </c>
      <c r="H8" s="49" t="s">
        <v>131</v>
      </c>
      <c r="I8" s="49"/>
      <c r="J8" s="49" t="s">
        <v>89</v>
      </c>
      <c r="K8" s="49" t="s">
        <v>89</v>
      </c>
      <c r="L8" s="49" t="s">
        <v>132</v>
      </c>
      <c r="M8" s="49" t="s">
        <v>90</v>
      </c>
      <c r="N8" s="49" t="s">
        <v>89</v>
      </c>
      <c r="O8" s="49" t="s">
        <v>89</v>
      </c>
      <c r="P8" s="49" t="s">
        <v>89</v>
      </c>
    </row>
    <row r="9" spans="2:16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2:16">
      <c r="B10" s="8" t="s">
        <v>1218</v>
      </c>
      <c r="C10" s="38"/>
      <c r="D10" s="8"/>
      <c r="E10" s="8"/>
      <c r="F10" s="8"/>
      <c r="G10" s="8"/>
      <c r="H10" s="7"/>
      <c r="I10" s="8"/>
      <c r="J10" s="7"/>
      <c r="K10" s="7"/>
      <c r="L10" s="13">
        <v>0</v>
      </c>
      <c r="M10" s="13">
        <v>0</v>
      </c>
      <c r="N10" s="7"/>
      <c r="O10" s="14">
        <v>0</v>
      </c>
      <c r="P10" s="14">
        <v>0</v>
      </c>
    </row>
    <row r="11" spans="2:16">
      <c r="B11" s="8" t="s">
        <v>1219</v>
      </c>
      <c r="C11" s="38"/>
      <c r="D11" s="8"/>
      <c r="E11" s="8"/>
      <c r="F11" s="8"/>
      <c r="G11" s="8"/>
      <c r="H11" s="7"/>
      <c r="I11" s="8"/>
      <c r="J11" s="7"/>
      <c r="K11" s="7"/>
      <c r="L11" s="13">
        <v>0</v>
      </c>
      <c r="M11" s="13">
        <v>0</v>
      </c>
      <c r="N11" s="7"/>
      <c r="O11" s="14">
        <v>0</v>
      </c>
      <c r="P11" s="14">
        <v>0</v>
      </c>
    </row>
    <row r="12" spans="2:16">
      <c r="B12" s="39" t="s">
        <v>1220</v>
      </c>
      <c r="C12" s="40"/>
      <c r="D12" s="39"/>
      <c r="E12" s="39"/>
      <c r="F12" s="39"/>
      <c r="G12" s="39"/>
      <c r="H12" s="7"/>
      <c r="I12" s="39"/>
      <c r="J12" s="7"/>
      <c r="K12" s="7"/>
      <c r="L12" s="42">
        <v>0</v>
      </c>
      <c r="M12" s="42">
        <v>0</v>
      </c>
      <c r="N12" s="7"/>
      <c r="O12" s="41">
        <v>0</v>
      </c>
      <c r="P12" s="41">
        <v>0</v>
      </c>
    </row>
    <row r="13" spans="2:16">
      <c r="B13" s="39" t="s">
        <v>1302</v>
      </c>
      <c r="C13" s="40"/>
      <c r="D13" s="39"/>
      <c r="E13" s="39"/>
      <c r="F13" s="39"/>
      <c r="G13" s="39"/>
      <c r="H13" s="7"/>
      <c r="I13" s="39"/>
      <c r="J13" s="7"/>
      <c r="K13" s="7"/>
      <c r="L13" s="42">
        <v>0</v>
      </c>
      <c r="M13" s="42">
        <v>0</v>
      </c>
      <c r="N13" s="7"/>
      <c r="O13" s="41">
        <v>0</v>
      </c>
      <c r="P13" s="41">
        <v>0</v>
      </c>
    </row>
    <row r="14" spans="2:16">
      <c r="B14" s="39" t="s">
        <v>1308</v>
      </c>
      <c r="C14" s="40"/>
      <c r="D14" s="39"/>
      <c r="E14" s="39"/>
      <c r="F14" s="39"/>
      <c r="G14" s="39"/>
      <c r="H14" s="7"/>
      <c r="I14" s="39"/>
      <c r="J14" s="7"/>
      <c r="K14" s="7"/>
      <c r="L14" s="42">
        <v>0</v>
      </c>
      <c r="M14" s="42">
        <v>0</v>
      </c>
      <c r="N14" s="7"/>
      <c r="O14" s="41">
        <v>0</v>
      </c>
      <c r="P14" s="41">
        <v>0</v>
      </c>
    </row>
    <row r="15" spans="2:16">
      <c r="B15" s="39" t="s">
        <v>1318</v>
      </c>
      <c r="C15" s="40"/>
      <c r="D15" s="39"/>
      <c r="E15" s="39"/>
      <c r="F15" s="39"/>
      <c r="G15" s="39"/>
      <c r="H15" s="7"/>
      <c r="I15" s="39"/>
      <c r="J15" s="7"/>
      <c r="K15" s="7"/>
      <c r="L15" s="42">
        <v>0</v>
      </c>
      <c r="M15" s="42">
        <v>0</v>
      </c>
      <c r="N15" s="7"/>
      <c r="O15" s="41">
        <v>0</v>
      </c>
      <c r="P15" s="41">
        <v>0</v>
      </c>
    </row>
    <row r="16" spans="2:16">
      <c r="B16" s="8" t="s">
        <v>1469</v>
      </c>
      <c r="C16" s="38"/>
      <c r="D16" s="8"/>
      <c r="E16" s="8"/>
      <c r="F16" s="8"/>
      <c r="G16" s="8"/>
      <c r="H16" s="7"/>
      <c r="I16" s="8"/>
      <c r="J16" s="7"/>
      <c r="K16" s="7"/>
      <c r="L16" s="13">
        <v>0</v>
      </c>
      <c r="M16" s="13">
        <v>0</v>
      </c>
      <c r="N16" s="7"/>
      <c r="O16" s="14">
        <v>0</v>
      </c>
      <c r="P16" s="14">
        <v>0</v>
      </c>
    </row>
    <row r="19" spans="2:9">
      <c r="B19" s="3" t="s">
        <v>121</v>
      </c>
      <c r="C19" s="5"/>
      <c r="D19" s="3"/>
      <c r="E19" s="3"/>
      <c r="F19" s="3"/>
      <c r="G19" s="3"/>
      <c r="I19" s="3"/>
    </row>
    <row r="23" spans="2:9">
      <c r="B23" s="2" t="s">
        <v>76</v>
      </c>
    </row>
  </sheetData>
  <mergeCells count="3">
    <mergeCell ref="B6:I6"/>
    <mergeCell ref="J6:K6"/>
    <mergeCell ref="L6:P6"/>
  </mergeCells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6"/>
  <sheetViews>
    <sheetView rightToLeft="1" topLeftCell="A43" zoomScale="80" zoomScaleNormal="80" workbookViewId="0">
      <selection activeCell="N68" sqref="N68"/>
    </sheetView>
  </sheetViews>
  <sheetFormatPr defaultColWidth="9.140625" defaultRowHeight="12.75"/>
  <cols>
    <col min="1" max="1" width="2.28515625" customWidth="1"/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15.7109375" customWidth="1"/>
    <col min="15" max="15" width="24.7109375" customWidth="1"/>
    <col min="16" max="16" width="27.7109375" customWidth="1"/>
    <col min="17" max="17" width="20.7109375" customWidth="1"/>
  </cols>
  <sheetData>
    <row r="1" spans="2:17">
      <c r="B1" s="15" t="s">
        <v>1490</v>
      </c>
    </row>
    <row r="2" spans="2:17">
      <c r="B2" s="15" t="s">
        <v>1489</v>
      </c>
    </row>
    <row r="3" spans="2:17">
      <c r="B3" s="15" t="s">
        <v>2</v>
      </c>
    </row>
    <row r="4" spans="2:17">
      <c r="B4" s="15" t="s">
        <v>3</v>
      </c>
    </row>
    <row r="5" spans="2:17" ht="13.5" thickBot="1"/>
    <row r="6" spans="2:17" ht="13.5" thickBot="1">
      <c r="B6" s="110" t="s">
        <v>122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  <c r="M6" s="110"/>
      <c r="N6" s="111"/>
      <c r="O6" s="111"/>
      <c r="P6" s="111"/>
      <c r="Q6" s="111"/>
    </row>
    <row r="7" spans="2:17">
      <c r="B7" s="45" t="s">
        <v>123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2:17" ht="13.5" thickBot="1">
      <c r="B8" s="46" t="s">
        <v>78</v>
      </c>
      <c r="C8" s="46" t="s">
        <v>79</v>
      </c>
      <c r="D8" s="46" t="s">
        <v>124</v>
      </c>
      <c r="E8" s="46" t="s">
        <v>81</v>
      </c>
      <c r="F8" s="46" t="s">
        <v>82</v>
      </c>
      <c r="G8" s="46" t="s">
        <v>125</v>
      </c>
      <c r="H8" s="46" t="s">
        <v>126</v>
      </c>
      <c r="I8" s="46" t="s">
        <v>83</v>
      </c>
      <c r="J8" s="46" t="s">
        <v>84</v>
      </c>
      <c r="K8" s="46" t="s">
        <v>85</v>
      </c>
      <c r="L8" s="46" t="s">
        <v>127</v>
      </c>
      <c r="M8" s="46" t="s">
        <v>42</v>
      </c>
      <c r="N8" s="46" t="s">
        <v>86</v>
      </c>
      <c r="O8" s="46" t="s">
        <v>128</v>
      </c>
      <c r="P8" s="46" t="s">
        <v>129</v>
      </c>
      <c r="Q8" s="46" t="s">
        <v>88</v>
      </c>
    </row>
    <row r="9" spans="2:17" ht="13.5" thickBot="1">
      <c r="B9" s="110"/>
      <c r="C9" s="111"/>
      <c r="D9" s="111"/>
      <c r="E9" s="111"/>
      <c r="F9" s="111"/>
      <c r="G9" s="111" t="s">
        <v>130</v>
      </c>
      <c r="H9" s="111" t="s">
        <v>131</v>
      </c>
      <c r="I9" s="111"/>
      <c r="J9" s="111" t="s">
        <v>89</v>
      </c>
      <c r="K9" s="111" t="s">
        <v>89</v>
      </c>
      <c r="L9" s="112" t="s">
        <v>132</v>
      </c>
      <c r="M9" s="110" t="s">
        <v>133</v>
      </c>
      <c r="N9" s="111" t="s">
        <v>90</v>
      </c>
      <c r="O9" s="111" t="s">
        <v>89</v>
      </c>
      <c r="P9" s="111" t="s">
        <v>89</v>
      </c>
      <c r="Q9" s="111" t="s">
        <v>89</v>
      </c>
    </row>
    <row r="10" spans="2:17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>
      <c r="B11" s="8" t="s">
        <v>134</v>
      </c>
      <c r="C11" s="38"/>
      <c r="D11" s="8"/>
      <c r="E11" s="8"/>
      <c r="F11" s="8"/>
      <c r="G11" s="8"/>
      <c r="H11" s="38"/>
      <c r="I11" s="8"/>
      <c r="J11" s="7"/>
      <c r="K11" s="14"/>
      <c r="L11" s="13">
        <f>L13+L56</f>
        <v>1026741913</v>
      </c>
      <c r="M11" s="13"/>
      <c r="N11" s="13">
        <f t="shared" ref="N11" si="0">N13+N56</f>
        <v>1251200.73</v>
      </c>
      <c r="O11" s="7"/>
      <c r="P11" s="14">
        <f>P13+P56</f>
        <v>0.99999999999999989</v>
      </c>
      <c r="Q11" s="14">
        <f>Q13+Q56</f>
        <v>0.34407215001736613</v>
      </c>
    </row>
    <row r="12" spans="2:17">
      <c r="B12" s="8"/>
      <c r="C12" s="38"/>
      <c r="D12" s="8"/>
      <c r="E12" s="8"/>
      <c r="F12" s="8"/>
      <c r="G12" s="8"/>
      <c r="H12" s="38"/>
      <c r="I12" s="8"/>
      <c r="J12" s="7"/>
      <c r="K12" s="14"/>
      <c r="L12" s="13"/>
      <c r="M12" s="7"/>
      <c r="N12" s="13"/>
      <c r="O12" s="7"/>
      <c r="P12" s="14"/>
      <c r="Q12" s="14"/>
    </row>
    <row r="13" spans="2:17">
      <c r="B13" s="8" t="s">
        <v>135</v>
      </c>
      <c r="C13" s="38"/>
      <c r="D13" s="8"/>
      <c r="E13" s="8"/>
      <c r="F13" s="8"/>
      <c r="G13" s="8"/>
      <c r="H13" s="38"/>
      <c r="I13" s="8"/>
      <c r="J13" s="7"/>
      <c r="K13" s="14"/>
      <c r="L13" s="13">
        <f>L15+L28</f>
        <v>992564713</v>
      </c>
      <c r="M13" s="13"/>
      <c r="N13" s="13">
        <f t="shared" ref="N13" si="1">N15+N28</f>
        <v>1226649.08</v>
      </c>
      <c r="O13" s="13"/>
      <c r="P13" s="14">
        <f>P15+P28</f>
        <v>0.98039999999999994</v>
      </c>
      <c r="Q13" s="14">
        <f>Q15+Q28</f>
        <v>0.33732060424263349</v>
      </c>
    </row>
    <row r="14" spans="2:17">
      <c r="B14" s="8"/>
      <c r="C14" s="38"/>
      <c r="D14" s="8"/>
      <c r="E14" s="8"/>
      <c r="F14" s="8"/>
      <c r="G14" s="8"/>
      <c r="H14" s="38"/>
      <c r="I14" s="8"/>
      <c r="J14" s="7"/>
      <c r="K14" s="14"/>
      <c r="L14" s="13"/>
      <c r="M14" s="7"/>
      <c r="N14" s="13"/>
      <c r="O14" s="7"/>
      <c r="P14" s="14"/>
      <c r="Q14" s="14"/>
    </row>
    <row r="15" spans="2:17">
      <c r="B15" s="39" t="s">
        <v>136</v>
      </c>
      <c r="C15" s="40"/>
      <c r="D15" s="39"/>
      <c r="E15" s="39"/>
      <c r="F15" s="39"/>
      <c r="G15" s="39"/>
      <c r="H15" s="40"/>
      <c r="I15" s="39"/>
      <c r="J15" s="7"/>
      <c r="K15" s="41"/>
      <c r="L15" s="42">
        <f>SUM(L16:L26)</f>
        <v>455464528</v>
      </c>
      <c r="M15" s="7"/>
      <c r="N15" s="42">
        <f>SUM(N16:N26)</f>
        <v>618863.14000000013</v>
      </c>
      <c r="O15" s="7"/>
      <c r="P15" s="41">
        <f>SUM(P16:P26)</f>
        <v>0.49469999999999997</v>
      </c>
      <c r="Q15" s="41">
        <f>SUM(Q16:Q26)</f>
        <v>0.17018338148371945</v>
      </c>
    </row>
    <row r="16" spans="2:17">
      <c r="B16" s="10" t="s">
        <v>137</v>
      </c>
      <c r="C16" s="43">
        <v>9590332</v>
      </c>
      <c r="D16" s="10" t="s">
        <v>138</v>
      </c>
      <c r="E16" s="10" t="s">
        <v>139</v>
      </c>
      <c r="F16" s="10"/>
      <c r="G16" s="10"/>
      <c r="H16" s="43">
        <v>4.25</v>
      </c>
      <c r="I16" s="10" t="s">
        <v>96</v>
      </c>
      <c r="J16" s="44">
        <v>0.04</v>
      </c>
      <c r="K16" s="12">
        <v>6.9999999999999999E-4</v>
      </c>
      <c r="L16" s="11">
        <v>132413919</v>
      </c>
      <c r="M16" s="11">
        <v>154.33000000000001</v>
      </c>
      <c r="N16" s="11">
        <v>204354.4</v>
      </c>
      <c r="O16" s="12">
        <v>8.5000000000000006E-3</v>
      </c>
      <c r="P16" s="12">
        <f>16.33%+0.0001</f>
        <v>0.16339999999999996</v>
      </c>
      <c r="Q16" s="12">
        <f>N16/'סכום נכסי הקרן'!$C$42</f>
        <v>5.6196145100961416E-2</v>
      </c>
    </row>
    <row r="17" spans="2:17">
      <c r="B17" s="10" t="s">
        <v>140</v>
      </c>
      <c r="C17" s="43">
        <v>9590431</v>
      </c>
      <c r="D17" s="10" t="s">
        <v>138</v>
      </c>
      <c r="E17" s="10" t="s">
        <v>139</v>
      </c>
      <c r="F17" s="10"/>
      <c r="G17" s="10"/>
      <c r="H17" s="43">
        <v>6.72</v>
      </c>
      <c r="I17" s="10" t="s">
        <v>96</v>
      </c>
      <c r="J17" s="44">
        <v>0.04</v>
      </c>
      <c r="K17" s="12">
        <v>4.8999999999999998E-3</v>
      </c>
      <c r="L17" s="11">
        <v>19467393</v>
      </c>
      <c r="M17" s="11">
        <v>155.97999999999999</v>
      </c>
      <c r="N17" s="11">
        <v>30365.24</v>
      </c>
      <c r="O17" s="12">
        <v>1.8E-3</v>
      </c>
      <c r="P17" s="12">
        <v>2.4299999999999999E-2</v>
      </c>
      <c r="Q17" s="12">
        <f>N17/'סכום נכסי הקרן'!$C$42</f>
        <v>8.3502456177381931E-3</v>
      </c>
    </row>
    <row r="18" spans="2:17">
      <c r="B18" s="10" t="s">
        <v>141</v>
      </c>
      <c r="C18" s="43">
        <v>1125905</v>
      </c>
      <c r="D18" s="10" t="s">
        <v>138</v>
      </c>
      <c r="E18" s="10" t="s">
        <v>139</v>
      </c>
      <c r="F18" s="10"/>
      <c r="G18" s="10"/>
      <c r="H18" s="43">
        <v>0.42</v>
      </c>
      <c r="I18" s="10" t="s">
        <v>96</v>
      </c>
      <c r="J18" s="44">
        <v>0.01</v>
      </c>
      <c r="K18" s="12">
        <v>7.7000000000000002E-3</v>
      </c>
      <c r="L18" s="11">
        <v>15656600</v>
      </c>
      <c r="M18" s="11">
        <v>102.73</v>
      </c>
      <c r="N18" s="11">
        <v>16084.03</v>
      </c>
      <c r="O18" s="12">
        <v>1.1999999999999999E-3</v>
      </c>
      <c r="P18" s="12">
        <v>1.29E-2</v>
      </c>
      <c r="Q18" s="12">
        <f>N18/'סכום נכסי הקרן'!$C$42</f>
        <v>4.4230047588317964E-3</v>
      </c>
    </row>
    <row r="19" spans="2:17">
      <c r="B19" s="10" t="s">
        <v>142</v>
      </c>
      <c r="C19" s="43">
        <v>1108927</v>
      </c>
      <c r="D19" s="10" t="s">
        <v>138</v>
      </c>
      <c r="E19" s="10" t="s">
        <v>139</v>
      </c>
      <c r="F19" s="10"/>
      <c r="G19" s="10"/>
      <c r="H19" s="43">
        <v>1.3</v>
      </c>
      <c r="I19" s="10" t="s">
        <v>96</v>
      </c>
      <c r="J19" s="44">
        <v>3.5000000000000003E-2</v>
      </c>
      <c r="K19" s="12">
        <v>3.0000000000000001E-3</v>
      </c>
      <c r="L19" s="11">
        <v>70533040</v>
      </c>
      <c r="M19" s="11">
        <v>123.8</v>
      </c>
      <c r="N19" s="11">
        <v>87319.9</v>
      </c>
      <c r="O19" s="12">
        <v>3.5999999999999999E-3</v>
      </c>
      <c r="P19" s="12">
        <v>6.9800000000000001E-2</v>
      </c>
      <c r="Q19" s="12">
        <f>N19/'סכום נכסי הקרן'!$C$42</f>
        <v>2.4012410648370872E-2</v>
      </c>
    </row>
    <row r="20" spans="2:17">
      <c r="B20" s="10" t="s">
        <v>143</v>
      </c>
      <c r="C20" s="43">
        <v>1097708</v>
      </c>
      <c r="D20" s="10" t="s">
        <v>138</v>
      </c>
      <c r="E20" s="10" t="s">
        <v>139</v>
      </c>
      <c r="F20" s="10"/>
      <c r="G20" s="10"/>
      <c r="H20" s="43">
        <v>14.76</v>
      </c>
      <c r="I20" s="10" t="s">
        <v>96</v>
      </c>
      <c r="J20" s="44">
        <v>0.04</v>
      </c>
      <c r="K20" s="12">
        <v>1.14E-2</v>
      </c>
      <c r="L20" s="11">
        <v>33027214</v>
      </c>
      <c r="M20" s="11">
        <v>178.62</v>
      </c>
      <c r="N20" s="11">
        <v>58993.21</v>
      </c>
      <c r="O20" s="12">
        <v>2E-3</v>
      </c>
      <c r="P20" s="12">
        <v>4.7100000000000003E-2</v>
      </c>
      <c r="Q20" s="12">
        <f>N20/'סכום נכסי הקרן'!$C$42</f>
        <v>1.6222753163775715E-2</v>
      </c>
    </row>
    <row r="21" spans="2:17">
      <c r="B21" s="10" t="s">
        <v>144</v>
      </c>
      <c r="C21" s="43">
        <v>1120583</v>
      </c>
      <c r="D21" s="10" t="s">
        <v>138</v>
      </c>
      <c r="E21" s="10" t="s">
        <v>139</v>
      </c>
      <c r="F21" s="10"/>
      <c r="G21" s="10"/>
      <c r="H21" s="43">
        <v>18.98</v>
      </c>
      <c r="I21" s="10" t="s">
        <v>96</v>
      </c>
      <c r="J21" s="44">
        <v>2.75E-2</v>
      </c>
      <c r="K21" s="12">
        <v>1.35E-2</v>
      </c>
      <c r="L21" s="11">
        <v>32254355</v>
      </c>
      <c r="M21" s="11">
        <v>137.66999999999999</v>
      </c>
      <c r="N21" s="11">
        <v>44404.57</v>
      </c>
      <c r="O21" s="12">
        <v>1.8E-3</v>
      </c>
      <c r="P21" s="12">
        <v>3.5499999999999997E-2</v>
      </c>
      <c r="Q21" s="12">
        <f>N21/'סכום נכסי הקרן'!$C$42</f>
        <v>1.2210971032998548E-2</v>
      </c>
    </row>
    <row r="22" spans="2:17">
      <c r="B22" s="10" t="s">
        <v>145</v>
      </c>
      <c r="C22" s="43">
        <v>1124056</v>
      </c>
      <c r="D22" s="10" t="s">
        <v>138</v>
      </c>
      <c r="E22" s="10" t="s">
        <v>139</v>
      </c>
      <c r="F22" s="10"/>
      <c r="G22" s="10"/>
      <c r="H22" s="43">
        <v>5.4</v>
      </c>
      <c r="I22" s="10" t="s">
        <v>96</v>
      </c>
      <c r="J22" s="44">
        <v>2.75E-2</v>
      </c>
      <c r="K22" s="12">
        <v>2.3E-3</v>
      </c>
      <c r="L22" s="11">
        <v>114878807</v>
      </c>
      <c r="M22" s="11">
        <v>117.85</v>
      </c>
      <c r="N22" s="11">
        <v>135384.67000000001</v>
      </c>
      <c r="O22" s="12">
        <v>7.1000000000000004E-3</v>
      </c>
      <c r="P22" s="12">
        <v>0.1082</v>
      </c>
      <c r="Q22" s="12">
        <f>N22/'סכום נכסי הקרן'!$C$42</f>
        <v>3.7229913130159067E-2</v>
      </c>
    </row>
    <row r="23" spans="2:17">
      <c r="B23" s="10" t="s">
        <v>146</v>
      </c>
      <c r="C23" s="43">
        <v>1128081</v>
      </c>
      <c r="D23" s="10" t="s">
        <v>138</v>
      </c>
      <c r="E23" s="10" t="s">
        <v>139</v>
      </c>
      <c r="F23" s="10"/>
      <c r="G23" s="10"/>
      <c r="H23" s="43">
        <v>6.42</v>
      </c>
      <c r="I23" s="10" t="s">
        <v>96</v>
      </c>
      <c r="J23" s="44">
        <v>1.7500000000000002E-2</v>
      </c>
      <c r="K23" s="12">
        <v>4.0000000000000001E-3</v>
      </c>
      <c r="L23" s="11">
        <v>24564200</v>
      </c>
      <c r="M23" s="11">
        <v>110.03</v>
      </c>
      <c r="N23" s="11">
        <v>27027.99</v>
      </c>
      <c r="O23" s="12">
        <v>1.8E-3</v>
      </c>
      <c r="P23" s="12">
        <v>2.1600000000000001E-2</v>
      </c>
      <c r="Q23" s="12">
        <f>N23/'סכום נכסי הקרן'!$C$42</f>
        <v>7.4325233409573482E-3</v>
      </c>
    </row>
    <row r="24" spans="2:17">
      <c r="B24" s="10" t="s">
        <v>147</v>
      </c>
      <c r="C24" s="43">
        <v>1114750</v>
      </c>
      <c r="D24" s="10" t="s">
        <v>138</v>
      </c>
      <c r="E24" s="10" t="s">
        <v>139</v>
      </c>
      <c r="F24" s="10"/>
      <c r="G24" s="10"/>
      <c r="H24" s="43">
        <v>2.75</v>
      </c>
      <c r="I24" s="10" t="s">
        <v>96</v>
      </c>
      <c r="J24" s="44">
        <v>0.03</v>
      </c>
      <c r="K24" s="12">
        <v>-6.9999999999999999E-4</v>
      </c>
      <c r="L24" s="11">
        <v>11909000</v>
      </c>
      <c r="M24" s="11">
        <v>118.92</v>
      </c>
      <c r="N24" s="11">
        <v>14162.18</v>
      </c>
      <c r="O24" s="12">
        <v>8.0000000000000004E-4</v>
      </c>
      <c r="P24" s="12">
        <v>1.1299999999999999E-2</v>
      </c>
      <c r="Q24" s="12">
        <f>N24/'סכום נכסי הקרן'!$C$42</f>
        <v>3.8945083747936615E-3</v>
      </c>
    </row>
    <row r="25" spans="2:17">
      <c r="B25" s="10" t="s">
        <v>148</v>
      </c>
      <c r="C25" s="43">
        <v>1137181</v>
      </c>
      <c r="D25" s="10" t="s">
        <v>138</v>
      </c>
      <c r="E25" s="10" t="s">
        <v>139</v>
      </c>
      <c r="F25" s="10"/>
      <c r="G25" s="10"/>
      <c r="H25" s="43">
        <v>3.83</v>
      </c>
      <c r="I25" s="10" t="s">
        <v>96</v>
      </c>
      <c r="J25" s="44">
        <v>1E-3</v>
      </c>
      <c r="K25" s="12">
        <v>8.0000000000000004E-4</v>
      </c>
      <c r="L25" s="11">
        <v>30000</v>
      </c>
      <c r="M25" s="11">
        <v>100.08</v>
      </c>
      <c r="N25" s="11">
        <v>30.02</v>
      </c>
      <c r="O25" s="12">
        <v>0</v>
      </c>
      <c r="P25" s="12">
        <v>0</v>
      </c>
      <c r="Q25" s="12">
        <f>N25/'סכום נכסי הקרן'!$C$42</f>
        <v>8.255306839152285E-6</v>
      </c>
    </row>
    <row r="26" spans="2:17">
      <c r="B26" s="10" t="s">
        <v>149</v>
      </c>
      <c r="C26" s="43">
        <v>1135912</v>
      </c>
      <c r="D26" s="10" t="s">
        <v>138</v>
      </c>
      <c r="E26" s="10" t="s">
        <v>139</v>
      </c>
      <c r="F26" s="10"/>
      <c r="G26" s="10"/>
      <c r="H26" s="43">
        <v>8.58</v>
      </c>
      <c r="I26" s="10" t="s">
        <v>96</v>
      </c>
      <c r="J26" s="44">
        <v>7.4999999999999997E-3</v>
      </c>
      <c r="K26" s="12">
        <v>6.4999999999999997E-3</v>
      </c>
      <c r="L26" s="11">
        <v>730000</v>
      </c>
      <c r="M26" s="11">
        <v>100.95</v>
      </c>
      <c r="N26" s="11">
        <v>736.93</v>
      </c>
      <c r="O26" s="12">
        <v>1E-4</v>
      </c>
      <c r="P26" s="12">
        <v>5.9999999999999995E-4</v>
      </c>
      <c r="Q26" s="12">
        <f>N26/'סכום נכסי הקרן'!$C$42</f>
        <v>2.0265100829368731E-4</v>
      </c>
    </row>
    <row r="27" spans="2:17">
      <c r="B27" s="10"/>
      <c r="C27" s="43"/>
      <c r="D27" s="10"/>
      <c r="E27" s="10"/>
      <c r="F27" s="10"/>
      <c r="G27" s="10"/>
      <c r="H27" s="43"/>
      <c r="I27" s="10"/>
      <c r="J27" s="44"/>
      <c r="K27" s="12"/>
      <c r="L27" s="11"/>
      <c r="M27" s="11"/>
      <c r="N27" s="11"/>
      <c r="O27" s="12"/>
      <c r="P27" s="12"/>
      <c r="Q27" s="12"/>
    </row>
    <row r="28" spans="2:17">
      <c r="B28" s="39" t="s">
        <v>150</v>
      </c>
      <c r="C28" s="40"/>
      <c r="D28" s="39"/>
      <c r="E28" s="39"/>
      <c r="F28" s="39"/>
      <c r="G28" s="39"/>
      <c r="H28" s="40">
        <v>3.37</v>
      </c>
      <c r="I28" s="39"/>
      <c r="J28" s="7"/>
      <c r="K28" s="41">
        <v>8.3000000000000001E-3</v>
      </c>
      <c r="L28" s="42">
        <f>SUM(L29:L52)</f>
        <v>537100185</v>
      </c>
      <c r="M28" s="42"/>
      <c r="N28" s="42">
        <f t="shared" ref="N28:P28" si="2">SUM(N29:N52)</f>
        <v>607785.93999999994</v>
      </c>
      <c r="O28" s="42"/>
      <c r="P28" s="41">
        <f t="shared" si="2"/>
        <v>0.48570000000000002</v>
      </c>
      <c r="Q28" s="41">
        <f>SUM(Q29:Q52)</f>
        <v>0.16713722275891404</v>
      </c>
    </row>
    <row r="29" spans="2:17">
      <c r="B29" s="10" t="s">
        <v>151</v>
      </c>
      <c r="C29" s="43">
        <v>8171019</v>
      </c>
      <c r="D29" s="10" t="s">
        <v>138</v>
      </c>
      <c r="E29" s="10" t="s">
        <v>139</v>
      </c>
      <c r="F29" s="10"/>
      <c r="G29" s="10"/>
      <c r="H29" s="43">
        <v>0.76</v>
      </c>
      <c r="I29" s="10" t="s">
        <v>96</v>
      </c>
      <c r="J29" s="7"/>
      <c r="K29" s="12">
        <v>1.4E-3</v>
      </c>
      <c r="L29" s="11">
        <v>14131000</v>
      </c>
      <c r="M29" s="11">
        <v>99.89</v>
      </c>
      <c r="N29" s="11">
        <v>14115.46</v>
      </c>
      <c r="O29" s="12">
        <v>1.6000000000000001E-3</v>
      </c>
      <c r="P29" s="12">
        <v>1.1299999999999999E-2</v>
      </c>
      <c r="Q29" s="12">
        <f>N29/'סכום נכסי הקרן'!$C$42</f>
        <v>3.8816606754090775E-3</v>
      </c>
    </row>
    <row r="30" spans="2:17">
      <c r="B30" s="10" t="s">
        <v>152</v>
      </c>
      <c r="C30" s="43">
        <v>8170110</v>
      </c>
      <c r="D30" s="10" t="s">
        <v>138</v>
      </c>
      <c r="E30" s="10" t="s">
        <v>139</v>
      </c>
      <c r="F30" s="10"/>
      <c r="G30" s="10"/>
      <c r="H30" s="43">
        <v>0.02</v>
      </c>
      <c r="I30" s="10" t="s">
        <v>96</v>
      </c>
      <c r="J30" s="7"/>
      <c r="K30" s="12">
        <v>6.1000000000000004E-3</v>
      </c>
      <c r="L30" s="11">
        <v>17292000</v>
      </c>
      <c r="M30" s="11">
        <v>99.99</v>
      </c>
      <c r="N30" s="11">
        <v>17290.27</v>
      </c>
      <c r="O30" s="12">
        <v>1.6999999999999999E-3</v>
      </c>
      <c r="P30" s="12">
        <v>1.38E-2</v>
      </c>
      <c r="Q30" s="12">
        <f>N30/'סכום נכסי הקרן'!$C$42</f>
        <v>4.7547129973947227E-3</v>
      </c>
    </row>
    <row r="31" spans="2:17">
      <c r="B31" s="10" t="s">
        <v>153</v>
      </c>
      <c r="C31" s="43">
        <v>8170227</v>
      </c>
      <c r="D31" s="10" t="s">
        <v>138</v>
      </c>
      <c r="E31" s="10" t="s">
        <v>139</v>
      </c>
      <c r="F31" s="10"/>
      <c r="G31" s="10"/>
      <c r="H31" s="43">
        <v>0.11</v>
      </c>
      <c r="I31" s="10" t="s">
        <v>96</v>
      </c>
      <c r="J31" s="7"/>
      <c r="K31" s="12">
        <v>1.8E-3</v>
      </c>
      <c r="L31" s="11">
        <v>2000000</v>
      </c>
      <c r="M31" s="11">
        <v>99.98</v>
      </c>
      <c r="N31" s="11">
        <v>1999.6</v>
      </c>
      <c r="O31" s="12">
        <v>2.0000000000000001E-4</v>
      </c>
      <c r="P31" s="12">
        <v>1.6000000000000001E-3</v>
      </c>
      <c r="Q31" s="12">
        <f>N31/'סכום נכסי הקרן'!$C$42</f>
        <v>5.498771337631215E-4</v>
      </c>
    </row>
    <row r="32" spans="2:17">
      <c r="B32" s="10" t="s">
        <v>154</v>
      </c>
      <c r="C32" s="43">
        <v>8170615</v>
      </c>
      <c r="D32" s="10" t="s">
        <v>138</v>
      </c>
      <c r="E32" s="10" t="s">
        <v>139</v>
      </c>
      <c r="F32" s="10"/>
      <c r="G32" s="10"/>
      <c r="H32" s="43">
        <v>0.44</v>
      </c>
      <c r="I32" s="10" t="s">
        <v>96</v>
      </c>
      <c r="J32" s="7"/>
      <c r="K32" s="12">
        <v>1.4E-3</v>
      </c>
      <c r="L32" s="11">
        <v>24600000</v>
      </c>
      <c r="M32" s="11">
        <v>99.94</v>
      </c>
      <c r="N32" s="11">
        <v>24585.24</v>
      </c>
      <c r="O32" s="12">
        <v>2.7000000000000001E-3</v>
      </c>
      <c r="P32" s="12">
        <v>1.9599999999999999E-2</v>
      </c>
      <c r="Q32" s="12">
        <f>N32/'סכום נכסי הקרן'!$C$42</f>
        <v>6.7607828086009439E-3</v>
      </c>
    </row>
    <row r="33" spans="2:17">
      <c r="B33" s="10" t="s">
        <v>155</v>
      </c>
      <c r="C33" s="43">
        <v>8171126</v>
      </c>
      <c r="D33" s="10" t="s">
        <v>138</v>
      </c>
      <c r="E33" s="10" t="s">
        <v>139</v>
      </c>
      <c r="F33" s="10"/>
      <c r="G33" s="10"/>
      <c r="H33" s="43">
        <v>0.86</v>
      </c>
      <c r="I33" s="10" t="s">
        <v>96</v>
      </c>
      <c r="J33" s="7"/>
      <c r="K33" s="12">
        <v>1.5E-3</v>
      </c>
      <c r="L33" s="11">
        <v>12759000</v>
      </c>
      <c r="M33" s="11">
        <v>99.87</v>
      </c>
      <c r="N33" s="11">
        <v>12742.41</v>
      </c>
      <c r="O33" s="12">
        <v>1.8E-3</v>
      </c>
      <c r="P33" s="12">
        <v>1.0200000000000001E-2</v>
      </c>
      <c r="Q33" s="12">
        <f>N33/'סכום נכסי הקרן'!$C$42</f>
        <v>3.5040807601693026E-3</v>
      </c>
    </row>
    <row r="34" spans="2:17">
      <c r="B34" s="10" t="s">
        <v>156</v>
      </c>
      <c r="C34" s="43">
        <v>8171217</v>
      </c>
      <c r="D34" s="10" t="s">
        <v>138</v>
      </c>
      <c r="E34" s="10" t="s">
        <v>139</v>
      </c>
      <c r="F34" s="10"/>
      <c r="G34" s="10"/>
      <c r="H34" s="7"/>
      <c r="I34" s="10" t="s">
        <v>96</v>
      </c>
      <c r="J34" s="7"/>
      <c r="K34" s="7"/>
      <c r="L34" s="11">
        <v>8600000</v>
      </c>
      <c r="M34" s="11">
        <v>99.87</v>
      </c>
      <c r="N34" s="11">
        <v>8588.82</v>
      </c>
      <c r="O34" s="12">
        <v>1.1999999999999999E-3</v>
      </c>
      <c r="P34" s="12">
        <v>6.8999999999999999E-3</v>
      </c>
      <c r="Q34" s="12">
        <f>N34/'סכום נכסי הקרן'!$C$42</f>
        <v>2.361870236050897E-3</v>
      </c>
    </row>
    <row r="35" spans="2:17">
      <c r="B35" s="10" t="s">
        <v>157</v>
      </c>
      <c r="C35" s="43">
        <v>8170516</v>
      </c>
      <c r="D35" s="10" t="s">
        <v>138</v>
      </c>
      <c r="E35" s="10" t="s">
        <v>139</v>
      </c>
      <c r="F35" s="10"/>
      <c r="G35" s="10"/>
      <c r="H35" s="43">
        <v>0.35</v>
      </c>
      <c r="I35" s="10" t="s">
        <v>96</v>
      </c>
      <c r="J35" s="7"/>
      <c r="K35" s="12">
        <v>1.6999999999999999E-3</v>
      </c>
      <c r="L35" s="11">
        <v>16000000</v>
      </c>
      <c r="M35" s="11">
        <v>99.94</v>
      </c>
      <c r="N35" s="11">
        <v>15990.4</v>
      </c>
      <c r="O35" s="12">
        <v>2E-3</v>
      </c>
      <c r="P35" s="12">
        <v>1.2800000000000001E-2</v>
      </c>
      <c r="Q35" s="12">
        <f>N35/'סכום נכסי הקרן'!$C$42</f>
        <v>4.3972571112851667E-3</v>
      </c>
    </row>
    <row r="36" spans="2:17">
      <c r="B36" s="10" t="s">
        <v>158</v>
      </c>
      <c r="C36" s="43">
        <v>8170714</v>
      </c>
      <c r="D36" s="10" t="s">
        <v>138</v>
      </c>
      <c r="E36" s="10" t="s">
        <v>139</v>
      </c>
      <c r="F36" s="10"/>
      <c r="G36" s="10"/>
      <c r="H36" s="43">
        <v>0.52</v>
      </c>
      <c r="I36" s="10" t="s">
        <v>96</v>
      </c>
      <c r="J36" s="7"/>
      <c r="K36" s="12">
        <v>1.4E-3</v>
      </c>
      <c r="L36" s="11">
        <v>7749501</v>
      </c>
      <c r="M36" s="11">
        <v>99.93</v>
      </c>
      <c r="N36" s="11">
        <v>7744.08</v>
      </c>
      <c r="O36" s="12">
        <v>8.9999999999999998E-4</v>
      </c>
      <c r="P36" s="12">
        <v>6.1999999999999998E-3</v>
      </c>
      <c r="Q36" s="12">
        <f>N36/'סכום נכסי הקרן'!$C$42</f>
        <v>2.1295721714504473E-3</v>
      </c>
    </row>
    <row r="37" spans="2:17">
      <c r="B37" s="10" t="s">
        <v>159</v>
      </c>
      <c r="C37" s="43">
        <v>8170813</v>
      </c>
      <c r="D37" s="10" t="s">
        <v>138</v>
      </c>
      <c r="E37" s="10" t="s">
        <v>139</v>
      </c>
      <c r="F37" s="10"/>
      <c r="G37" s="10"/>
      <c r="H37" s="43">
        <v>0.59</v>
      </c>
      <c r="I37" s="10" t="s">
        <v>96</v>
      </c>
      <c r="J37" s="7"/>
      <c r="K37" s="12">
        <v>1.5E-3</v>
      </c>
      <c r="L37" s="11">
        <v>15800000</v>
      </c>
      <c r="M37" s="11">
        <v>99.91</v>
      </c>
      <c r="N37" s="11">
        <v>15785.78</v>
      </c>
      <c r="O37" s="12">
        <v>1.8E-3</v>
      </c>
      <c r="P37" s="12">
        <v>1.26E-2</v>
      </c>
      <c r="Q37" s="12">
        <f>N37/'סכום נכסי הקרן'!$C$42</f>
        <v>4.3409879278931834E-3</v>
      </c>
    </row>
    <row r="38" spans="2:17">
      <c r="B38" s="10" t="s">
        <v>160</v>
      </c>
      <c r="C38" s="43">
        <v>1125400</v>
      </c>
      <c r="D38" s="10" t="s">
        <v>138</v>
      </c>
      <c r="E38" s="10" t="s">
        <v>139</v>
      </c>
      <c r="F38" s="10"/>
      <c r="G38" s="10"/>
      <c r="H38" s="43">
        <v>15.3</v>
      </c>
      <c r="I38" s="10" t="s">
        <v>96</v>
      </c>
      <c r="J38" s="44">
        <v>5.5E-2</v>
      </c>
      <c r="K38" s="12">
        <v>3.2300000000000002E-2</v>
      </c>
      <c r="L38" s="11">
        <v>14574638</v>
      </c>
      <c r="M38" s="11">
        <v>143.6</v>
      </c>
      <c r="N38" s="11">
        <v>20929.18</v>
      </c>
      <c r="O38" s="12">
        <v>8.9999999999999998E-4</v>
      </c>
      <c r="P38" s="12">
        <v>1.67E-2</v>
      </c>
      <c r="Q38" s="12">
        <f>N38/'סכום נכסי הקרן'!$C$42</f>
        <v>5.7553898331728585E-3</v>
      </c>
    </row>
    <row r="39" spans="2:17">
      <c r="B39" s="10" t="s">
        <v>161</v>
      </c>
      <c r="C39" s="43">
        <v>1136548</v>
      </c>
      <c r="D39" s="10" t="s">
        <v>138</v>
      </c>
      <c r="E39" s="10" t="s">
        <v>139</v>
      </c>
      <c r="F39" s="10"/>
      <c r="G39" s="10"/>
      <c r="H39" s="43">
        <v>1.83</v>
      </c>
      <c r="I39" s="10" t="s">
        <v>96</v>
      </c>
      <c r="J39" s="44">
        <v>5.0000000000000001E-3</v>
      </c>
      <c r="K39" s="12">
        <v>3.0999999999999999E-3</v>
      </c>
      <c r="L39" s="11">
        <v>29074600</v>
      </c>
      <c r="M39" s="11">
        <v>100.42</v>
      </c>
      <c r="N39" s="11">
        <v>29196.71</v>
      </c>
      <c r="O39" s="12">
        <v>2.2000000000000001E-3</v>
      </c>
      <c r="P39" s="12">
        <v>2.3300000000000001E-2</v>
      </c>
      <c r="Q39" s="12">
        <f>N39/'סכום נכסי הקרן'!$C$42</f>
        <v>8.0289073865338415E-3</v>
      </c>
    </row>
    <row r="40" spans="2:17">
      <c r="B40" s="10" t="s">
        <v>162</v>
      </c>
      <c r="C40" s="43">
        <v>1126218</v>
      </c>
      <c r="D40" s="10" t="s">
        <v>138</v>
      </c>
      <c r="E40" s="10" t="s">
        <v>139</v>
      </c>
      <c r="F40" s="10"/>
      <c r="G40" s="10"/>
      <c r="H40" s="43">
        <v>1.05</v>
      </c>
      <c r="I40" s="10" t="s">
        <v>96</v>
      </c>
      <c r="J40" s="44">
        <v>0.04</v>
      </c>
      <c r="K40" s="12">
        <v>1.9E-3</v>
      </c>
      <c r="L40" s="11">
        <v>108309737</v>
      </c>
      <c r="M40" s="11">
        <v>107.78</v>
      </c>
      <c r="N40" s="11">
        <v>116736.23</v>
      </c>
      <c r="O40" s="12">
        <v>6.4999999999999997E-3</v>
      </c>
      <c r="P40" s="12">
        <v>9.3299999999999994E-2</v>
      </c>
      <c r="Q40" s="12">
        <f>N40/'סכום נכסי הקרן'!$C$42</f>
        <v>3.2101712121780618E-2</v>
      </c>
    </row>
    <row r="41" spans="2:17">
      <c r="B41" s="10" t="s">
        <v>163</v>
      </c>
      <c r="C41" s="43">
        <v>1115773</v>
      </c>
      <c r="D41" s="10" t="s">
        <v>138</v>
      </c>
      <c r="E41" s="10" t="s">
        <v>139</v>
      </c>
      <c r="F41" s="10"/>
      <c r="G41" s="10"/>
      <c r="H41" s="43">
        <v>2.84</v>
      </c>
      <c r="I41" s="10" t="s">
        <v>96</v>
      </c>
      <c r="J41" s="44">
        <v>0.05</v>
      </c>
      <c r="K41" s="12">
        <v>6.1999999999999998E-3</v>
      </c>
      <c r="L41" s="11">
        <v>65219048</v>
      </c>
      <c r="M41" s="11">
        <v>117.91</v>
      </c>
      <c r="N41" s="11">
        <v>76899.78</v>
      </c>
      <c r="O41" s="12">
        <v>3.5000000000000001E-3</v>
      </c>
      <c r="P41" s="12">
        <v>6.1499999999999999E-2</v>
      </c>
      <c r="Q41" s="12">
        <f>N41/'סכום נכסי הקרן'!$C$42</f>
        <v>2.1146944695646441E-2</v>
      </c>
    </row>
    <row r="42" spans="2:17">
      <c r="B42" s="10" t="s">
        <v>164</v>
      </c>
      <c r="C42" s="43">
        <v>1123272</v>
      </c>
      <c r="D42" s="10" t="s">
        <v>138</v>
      </c>
      <c r="E42" s="10" t="s">
        <v>139</v>
      </c>
      <c r="F42" s="10"/>
      <c r="G42" s="10"/>
      <c r="H42" s="43">
        <v>4.45</v>
      </c>
      <c r="I42" s="10" t="s">
        <v>96</v>
      </c>
      <c r="J42" s="44">
        <v>5.5E-2</v>
      </c>
      <c r="K42" s="12">
        <v>1.1299999999999999E-2</v>
      </c>
      <c r="L42" s="11">
        <v>63179921</v>
      </c>
      <c r="M42" s="11">
        <v>126.49</v>
      </c>
      <c r="N42" s="11">
        <v>79916.28</v>
      </c>
      <c r="O42" s="12">
        <v>3.5000000000000001E-3</v>
      </c>
      <c r="P42" s="12">
        <v>6.3899999999999998E-2</v>
      </c>
      <c r="Q42" s="12">
        <f>N42/'סכום נכסי הקרן'!$C$42</f>
        <v>2.197646278626279E-2</v>
      </c>
    </row>
    <row r="43" spans="2:17">
      <c r="B43" s="10" t="s">
        <v>165</v>
      </c>
      <c r="C43" s="43">
        <v>1101575</v>
      </c>
      <c r="D43" s="10" t="s">
        <v>138</v>
      </c>
      <c r="E43" s="10" t="s">
        <v>139</v>
      </c>
      <c r="F43" s="10"/>
      <c r="G43" s="10"/>
      <c r="H43" s="43">
        <v>0.17</v>
      </c>
      <c r="I43" s="10" t="s">
        <v>96</v>
      </c>
      <c r="J43" s="44">
        <v>5.5E-2</v>
      </c>
      <c r="K43" s="12">
        <v>1.6999999999999999E-3</v>
      </c>
      <c r="L43" s="11">
        <v>6548890</v>
      </c>
      <c r="M43" s="11">
        <v>105.47</v>
      </c>
      <c r="N43" s="11">
        <v>6907.11</v>
      </c>
      <c r="O43" s="12">
        <v>5.0000000000000001E-4</v>
      </c>
      <c r="P43" s="12">
        <v>5.4999999999999997E-3</v>
      </c>
      <c r="Q43" s="12">
        <f>N43/'סכום נכסי הקרן'!$C$42</f>
        <v>1.8994108068546682E-3</v>
      </c>
    </row>
    <row r="44" spans="2:17">
      <c r="B44" s="10" t="s">
        <v>166</v>
      </c>
      <c r="C44" s="43">
        <v>1110907</v>
      </c>
      <c r="D44" s="10" t="s">
        <v>138</v>
      </c>
      <c r="E44" s="10" t="s">
        <v>139</v>
      </c>
      <c r="F44" s="10"/>
      <c r="G44" s="10"/>
      <c r="H44" s="43">
        <v>2.0099999999999998</v>
      </c>
      <c r="I44" s="10" t="s">
        <v>96</v>
      </c>
      <c r="J44" s="44">
        <v>0.06</v>
      </c>
      <c r="K44" s="12">
        <v>3.8E-3</v>
      </c>
      <c r="L44" s="11">
        <v>10198664</v>
      </c>
      <c r="M44" s="11">
        <v>117.11</v>
      </c>
      <c r="N44" s="11">
        <v>11943.66</v>
      </c>
      <c r="O44" s="12">
        <v>5.9999999999999995E-4</v>
      </c>
      <c r="P44" s="12">
        <v>9.4999999999999998E-3</v>
      </c>
      <c r="Q44" s="12">
        <f>N44/'סכום נכסי הקרן'!$C$42</f>
        <v>3.2844296496505523E-3</v>
      </c>
    </row>
    <row r="45" spans="2:17">
      <c r="B45" s="10" t="s">
        <v>167</v>
      </c>
      <c r="C45" s="43">
        <v>1126747</v>
      </c>
      <c r="D45" s="10" t="s">
        <v>138</v>
      </c>
      <c r="E45" s="10" t="s">
        <v>139</v>
      </c>
      <c r="F45" s="10"/>
      <c r="G45" s="10"/>
      <c r="H45" s="43">
        <v>5.53</v>
      </c>
      <c r="I45" s="10" t="s">
        <v>96</v>
      </c>
      <c r="J45" s="44">
        <v>4.2500000000000003E-2</v>
      </c>
      <c r="K45" s="12">
        <v>1.46E-2</v>
      </c>
      <c r="L45" s="11">
        <v>54889982</v>
      </c>
      <c r="M45" s="11">
        <v>119.77</v>
      </c>
      <c r="N45" s="11">
        <v>65741.73</v>
      </c>
      <c r="O45" s="12">
        <v>3.0999999999999999E-3</v>
      </c>
      <c r="P45" s="12">
        <v>5.2499999999999998E-2</v>
      </c>
      <c r="Q45" s="12">
        <f>N45/'סכום נכסי הקרן'!$C$42</f>
        <v>1.8078552741062723E-2</v>
      </c>
    </row>
    <row r="46" spans="2:17">
      <c r="B46" s="10" t="s">
        <v>168</v>
      </c>
      <c r="C46" s="43">
        <v>1130848</v>
      </c>
      <c r="D46" s="10" t="s">
        <v>138</v>
      </c>
      <c r="E46" s="10" t="s">
        <v>139</v>
      </c>
      <c r="F46" s="10"/>
      <c r="G46" s="10"/>
      <c r="H46" s="43">
        <v>6.39</v>
      </c>
      <c r="I46" s="10" t="s">
        <v>96</v>
      </c>
      <c r="J46" s="44">
        <v>3.7499999999999999E-2</v>
      </c>
      <c r="K46" s="12">
        <v>1.7100000000000001E-2</v>
      </c>
      <c r="L46" s="11">
        <v>16352932</v>
      </c>
      <c r="M46" s="11">
        <v>116.64</v>
      </c>
      <c r="N46" s="11">
        <v>19074.060000000001</v>
      </c>
      <c r="O46" s="12">
        <v>1.1000000000000001E-3</v>
      </c>
      <c r="P46" s="12">
        <v>1.52E-2</v>
      </c>
      <c r="Q46" s="12">
        <f>N46/'סכום נכסי הקרן'!$C$42</f>
        <v>5.2452437697668572E-3</v>
      </c>
    </row>
    <row r="47" spans="2:17">
      <c r="B47" s="10" t="s">
        <v>169</v>
      </c>
      <c r="C47" s="43">
        <v>1138130</v>
      </c>
      <c r="D47" s="10" t="s">
        <v>138</v>
      </c>
      <c r="E47" s="10" t="s">
        <v>139</v>
      </c>
      <c r="F47" s="10"/>
      <c r="G47" s="10"/>
      <c r="H47" s="43">
        <v>4.24</v>
      </c>
      <c r="I47" s="10" t="s">
        <v>96</v>
      </c>
      <c r="J47" s="44">
        <v>0.01</v>
      </c>
      <c r="K47" s="12">
        <v>9.9000000000000008E-3</v>
      </c>
      <c r="L47" s="11">
        <v>332000</v>
      </c>
      <c r="M47" s="11">
        <v>100.71</v>
      </c>
      <c r="N47" s="11">
        <v>334.36</v>
      </c>
      <c r="O47" s="12">
        <v>0</v>
      </c>
      <c r="P47" s="12">
        <v>2.9999999999999997E-4</v>
      </c>
      <c r="Q47" s="12">
        <f>N47/'סכום נכסי הקרן'!$C$42</f>
        <v>9.1946848592237119E-5</v>
      </c>
    </row>
    <row r="48" spans="2:17">
      <c r="B48" s="10" t="s">
        <v>170</v>
      </c>
      <c r="C48" s="43">
        <v>1131770</v>
      </c>
      <c r="D48" s="10" t="s">
        <v>138</v>
      </c>
      <c r="E48" s="10" t="s">
        <v>139</v>
      </c>
      <c r="F48" s="10"/>
      <c r="G48" s="10"/>
      <c r="H48" s="43">
        <v>2.36</v>
      </c>
      <c r="I48" s="10" t="s">
        <v>96</v>
      </c>
      <c r="J48" s="44">
        <v>2.2499999999999999E-2</v>
      </c>
      <c r="K48" s="12">
        <v>4.5999999999999999E-3</v>
      </c>
      <c r="L48" s="11">
        <v>3910000</v>
      </c>
      <c r="M48" s="11">
        <v>105.61</v>
      </c>
      <c r="N48" s="11">
        <v>4129.3500000000004</v>
      </c>
      <c r="O48" s="12">
        <v>2.9999999999999997E-4</v>
      </c>
      <c r="P48" s="12">
        <v>3.3E-3</v>
      </c>
      <c r="Q48" s="12">
        <f>N48/'סכום נכסי הקרן'!$C$42</f>
        <v>1.1355446800883908E-3</v>
      </c>
    </row>
    <row r="49" spans="2:17">
      <c r="B49" s="10" t="s">
        <v>171</v>
      </c>
      <c r="C49" s="43">
        <v>1135557</v>
      </c>
      <c r="D49" s="10" t="s">
        <v>138</v>
      </c>
      <c r="E49" s="10" t="s">
        <v>139</v>
      </c>
      <c r="F49" s="10"/>
      <c r="G49" s="10"/>
      <c r="H49" s="43">
        <v>8.07</v>
      </c>
      <c r="I49" s="10" t="s">
        <v>96</v>
      </c>
      <c r="J49" s="44">
        <v>1.7500000000000002E-2</v>
      </c>
      <c r="K49" s="12">
        <v>2.06E-2</v>
      </c>
      <c r="L49" s="11">
        <v>3700000</v>
      </c>
      <c r="M49" s="11">
        <v>98.14</v>
      </c>
      <c r="N49" s="11">
        <v>3631.18</v>
      </c>
      <c r="O49" s="12">
        <v>2.9999999999999997E-4</v>
      </c>
      <c r="P49" s="12">
        <v>2.8999999999999998E-3</v>
      </c>
      <c r="Q49" s="12">
        <f>N49/'סכום נכסי הקרן'!$C$42</f>
        <v>9.985511355160891E-4</v>
      </c>
    </row>
    <row r="50" spans="2:17">
      <c r="B50" s="10" t="s">
        <v>172</v>
      </c>
      <c r="C50" s="43">
        <v>1132786</v>
      </c>
      <c r="D50" s="10" t="s">
        <v>138</v>
      </c>
      <c r="E50" s="10" t="s">
        <v>139</v>
      </c>
      <c r="F50" s="10"/>
      <c r="G50" s="10"/>
      <c r="H50" s="43">
        <v>0.84</v>
      </c>
      <c r="I50" s="10" t="s">
        <v>96</v>
      </c>
      <c r="J50" s="44">
        <v>1.2500000000000001E-2</v>
      </c>
      <c r="K50" s="12">
        <v>1.8E-3</v>
      </c>
      <c r="L50" s="11">
        <v>700000</v>
      </c>
      <c r="M50" s="11">
        <v>101.1</v>
      </c>
      <c r="N50" s="11">
        <v>707.7</v>
      </c>
      <c r="O50" s="12">
        <v>1E-4</v>
      </c>
      <c r="P50" s="12">
        <v>5.9999999999999995E-4</v>
      </c>
      <c r="Q50" s="12">
        <f>N50/'סכום נכסי הקרן'!$C$42</f>
        <v>1.9461294637135486E-4</v>
      </c>
    </row>
    <row r="51" spans="2:17">
      <c r="B51" s="10" t="s">
        <v>173</v>
      </c>
      <c r="C51" s="43">
        <v>1099456</v>
      </c>
      <c r="D51" s="10" t="s">
        <v>138</v>
      </c>
      <c r="E51" s="10" t="s">
        <v>139</v>
      </c>
      <c r="F51" s="10"/>
      <c r="G51" s="10"/>
      <c r="H51" s="43">
        <v>7.93</v>
      </c>
      <c r="I51" s="10" t="s">
        <v>96</v>
      </c>
      <c r="J51" s="44">
        <v>6.25E-2</v>
      </c>
      <c r="K51" s="12">
        <v>2.0899999999999998E-2</v>
      </c>
      <c r="L51" s="11">
        <v>30823228</v>
      </c>
      <c r="M51" s="11">
        <v>137.69999999999999</v>
      </c>
      <c r="N51" s="11">
        <v>42443.58</v>
      </c>
      <c r="O51" s="12">
        <v>1.8E-3</v>
      </c>
      <c r="P51" s="12">
        <v>3.39E-2</v>
      </c>
      <c r="Q51" s="12">
        <f>N51/'סכום נכסי הקרן'!$C$42</f>
        <v>1.1671711400803036E-2</v>
      </c>
    </row>
    <row r="52" spans="2:17">
      <c r="B52" s="10" t="s">
        <v>174</v>
      </c>
      <c r="C52" s="43">
        <v>1106970</v>
      </c>
      <c r="D52" s="10" t="s">
        <v>138</v>
      </c>
      <c r="E52" s="10" t="s">
        <v>139</v>
      </c>
      <c r="F52" s="10"/>
      <c r="G52" s="10"/>
      <c r="H52" s="43">
        <v>0.67</v>
      </c>
      <c r="I52" s="10" t="s">
        <v>96</v>
      </c>
      <c r="J52" s="44">
        <v>1.1999999999999999E-3</v>
      </c>
      <c r="K52" s="12">
        <v>1.6000000000000001E-3</v>
      </c>
      <c r="L52" s="11">
        <v>10355044</v>
      </c>
      <c r="M52" s="11">
        <v>99.98</v>
      </c>
      <c r="N52" s="11">
        <v>10352.969999999999</v>
      </c>
      <c r="O52" s="12">
        <v>6.9999999999999999E-4</v>
      </c>
      <c r="P52" s="12">
        <v>8.3000000000000001E-3</v>
      </c>
      <c r="Q52" s="12">
        <f>N52/'סכום נכסי הקרן'!$C$42</f>
        <v>2.847000134794751E-3</v>
      </c>
    </row>
    <row r="53" spans="2:17">
      <c r="B53" s="10"/>
      <c r="C53" s="43"/>
      <c r="D53" s="10"/>
      <c r="E53" s="10"/>
      <c r="F53" s="10"/>
      <c r="G53" s="10"/>
      <c r="H53" s="43"/>
      <c r="I53" s="10"/>
      <c r="J53" s="44"/>
      <c r="K53" s="12"/>
      <c r="L53" s="11"/>
      <c r="M53" s="11"/>
      <c r="N53" s="11"/>
      <c r="O53" s="12"/>
      <c r="P53" s="12"/>
      <c r="Q53" s="12"/>
    </row>
    <row r="54" spans="2:17">
      <c r="B54" s="39" t="s">
        <v>175</v>
      </c>
      <c r="C54" s="40"/>
      <c r="D54" s="39"/>
      <c r="E54" s="39"/>
      <c r="F54" s="39"/>
      <c r="G54" s="39"/>
      <c r="H54" s="7"/>
      <c r="I54" s="39"/>
      <c r="J54" s="7"/>
      <c r="K54" s="7"/>
      <c r="L54" s="42">
        <v>0</v>
      </c>
      <c r="M54" s="7"/>
      <c r="N54" s="42">
        <v>0</v>
      </c>
      <c r="O54" s="7"/>
      <c r="P54" s="41">
        <v>0</v>
      </c>
      <c r="Q54" s="41">
        <v>0</v>
      </c>
    </row>
    <row r="55" spans="2:17">
      <c r="B55" s="39"/>
      <c r="C55" s="40"/>
      <c r="D55" s="39"/>
      <c r="E55" s="39"/>
      <c r="F55" s="39"/>
      <c r="G55" s="39"/>
      <c r="H55" s="7"/>
      <c r="I55" s="39"/>
      <c r="J55" s="7"/>
      <c r="K55" s="7"/>
      <c r="L55" s="42"/>
      <c r="M55" s="7"/>
      <c r="N55" s="42"/>
      <c r="O55" s="7"/>
      <c r="P55" s="41"/>
      <c r="Q55" s="41"/>
    </row>
    <row r="56" spans="2:17">
      <c r="B56" s="8" t="s">
        <v>176</v>
      </c>
      <c r="C56" s="38"/>
      <c r="D56" s="8"/>
      <c r="E56" s="8"/>
      <c r="F56" s="8"/>
      <c r="G56" s="8"/>
      <c r="H56" s="38">
        <v>6.35</v>
      </c>
      <c r="I56" s="8"/>
      <c r="J56" s="7"/>
      <c r="K56" s="14">
        <v>3.5099999999999999E-2</v>
      </c>
      <c r="L56" s="13">
        <f>L58+L63</f>
        <v>34177200</v>
      </c>
      <c r="M56" s="13">
        <f t="shared" ref="M56:Q56" si="3">M58+M63</f>
        <v>903.01</v>
      </c>
      <c r="N56" s="13">
        <f t="shared" si="3"/>
        <v>24551.65</v>
      </c>
      <c r="O56" s="13">
        <f t="shared" si="3"/>
        <v>0</v>
      </c>
      <c r="P56" s="41">
        <f t="shared" si="3"/>
        <v>1.9599999999999999E-2</v>
      </c>
      <c r="Q56" s="41">
        <f t="shared" si="3"/>
        <v>6.7515457747326178E-3</v>
      </c>
    </row>
    <row r="57" spans="2:17">
      <c r="B57" s="8"/>
      <c r="C57" s="38"/>
      <c r="D57" s="8"/>
      <c r="E57" s="8"/>
      <c r="F57" s="8"/>
      <c r="G57" s="8"/>
      <c r="H57" s="38"/>
      <c r="I57" s="8"/>
      <c r="J57" s="7"/>
      <c r="K57" s="14"/>
      <c r="L57" s="13"/>
      <c r="M57" s="7"/>
      <c r="N57" s="13"/>
      <c r="O57" s="7"/>
      <c r="P57" s="14"/>
      <c r="Q57" s="14"/>
    </row>
    <row r="58" spans="2:17">
      <c r="B58" s="39" t="s">
        <v>177</v>
      </c>
      <c r="C58" s="40"/>
      <c r="D58" s="39"/>
      <c r="E58" s="39"/>
      <c r="F58" s="39"/>
      <c r="G58" s="39"/>
      <c r="H58" s="40">
        <v>6.4</v>
      </c>
      <c r="I58" s="39"/>
      <c r="J58" s="7"/>
      <c r="K58" s="41">
        <v>2.8199999999999999E-2</v>
      </c>
      <c r="L58" s="42">
        <f>SUM(L59:L61)</f>
        <v>2057000</v>
      </c>
      <c r="M58" s="42">
        <f t="shared" ref="M58:N58" si="4">SUM(M59:M61)</f>
        <v>311.23</v>
      </c>
      <c r="N58" s="42">
        <f t="shared" si="4"/>
        <v>8052.63</v>
      </c>
      <c r="O58" s="42"/>
      <c r="P58" s="41">
        <f t="shared" ref="P58" si="5">SUM(P59:P61)</f>
        <v>6.5000000000000006E-3</v>
      </c>
      <c r="Q58" s="41">
        <f t="shared" ref="Q58" si="6">SUM(Q59:Q61)</f>
        <v>2.2144214361146854E-3</v>
      </c>
    </row>
    <row r="59" spans="2:17">
      <c r="B59" s="10" t="s">
        <v>178</v>
      </c>
      <c r="C59" s="43" t="s">
        <v>179</v>
      </c>
      <c r="D59" s="10" t="s">
        <v>180</v>
      </c>
      <c r="E59" s="10" t="s">
        <v>181</v>
      </c>
      <c r="F59" s="10" t="s">
        <v>118</v>
      </c>
      <c r="G59" s="10"/>
      <c r="H59" s="43">
        <v>2.12</v>
      </c>
      <c r="I59" s="10" t="s">
        <v>43</v>
      </c>
      <c r="J59" s="44">
        <v>5.1249999999999997E-2</v>
      </c>
      <c r="K59" s="12">
        <v>1.6400000000000001E-2</v>
      </c>
      <c r="L59" s="11">
        <v>297000</v>
      </c>
      <c r="M59" s="11">
        <v>108.97</v>
      </c>
      <c r="N59" s="11">
        <v>1244.0899999999999</v>
      </c>
      <c r="O59" s="12">
        <v>2.0000000000000001E-4</v>
      </c>
      <c r="P59" s="12">
        <v>1E-3</v>
      </c>
      <c r="Q59" s="12">
        <f>N59/'סכום נכסי הקרן'!$C$42</f>
        <v>3.4211674502068507E-4</v>
      </c>
    </row>
    <row r="60" spans="2:17">
      <c r="B60" s="10" t="s">
        <v>182</v>
      </c>
      <c r="C60" s="43" t="s">
        <v>183</v>
      </c>
      <c r="D60" s="10" t="s">
        <v>184</v>
      </c>
      <c r="E60" s="10" t="s">
        <v>181</v>
      </c>
      <c r="F60" s="10" t="s">
        <v>118</v>
      </c>
      <c r="G60" s="10"/>
      <c r="H60" s="43">
        <v>8.08</v>
      </c>
      <c r="I60" s="10" t="s">
        <v>43</v>
      </c>
      <c r="J60" s="44">
        <v>2.8750000000000001E-2</v>
      </c>
      <c r="K60" s="12">
        <v>3.1399999999999997E-2</v>
      </c>
      <c r="L60" s="11">
        <v>1075000</v>
      </c>
      <c r="M60" s="11">
        <v>98.9</v>
      </c>
      <c r="N60" s="11">
        <v>4086.87</v>
      </c>
      <c r="O60" s="12">
        <v>1.1000000000000001E-3</v>
      </c>
      <c r="P60" s="12">
        <v>3.3E-3</v>
      </c>
      <c r="Q60" s="12">
        <f>N60/'סכום נכסי הקרן'!$C$42</f>
        <v>1.1238629534219286E-3</v>
      </c>
    </row>
    <row r="61" spans="2:17">
      <c r="B61" s="10" t="s">
        <v>185</v>
      </c>
      <c r="C61" s="43" t="s">
        <v>186</v>
      </c>
      <c r="D61" s="10" t="s">
        <v>184</v>
      </c>
      <c r="E61" s="10" t="s">
        <v>181</v>
      </c>
      <c r="F61" s="10" t="s">
        <v>118</v>
      </c>
      <c r="G61" s="10"/>
      <c r="H61" s="43">
        <v>5.85</v>
      </c>
      <c r="I61" s="10" t="s">
        <v>43</v>
      </c>
      <c r="J61" s="44">
        <v>3.15E-2</v>
      </c>
      <c r="K61" s="12">
        <v>2.87E-2</v>
      </c>
      <c r="L61" s="11">
        <v>685000</v>
      </c>
      <c r="M61" s="11">
        <v>103.36</v>
      </c>
      <c r="N61" s="11">
        <v>2721.67</v>
      </c>
      <c r="O61" s="12">
        <v>6.9999999999999999E-4</v>
      </c>
      <c r="P61" s="12">
        <v>2.2000000000000001E-3</v>
      </c>
      <c r="Q61" s="12">
        <f>N61/'סכום נכסי הקרן'!$C$42</f>
        <v>7.4844173767207194E-4</v>
      </c>
    </row>
    <row r="62" spans="2:17">
      <c r="B62" s="10"/>
      <c r="C62" s="43"/>
      <c r="D62" s="10"/>
      <c r="E62" s="10"/>
      <c r="F62" s="10"/>
      <c r="G62" s="10"/>
      <c r="H62" s="43"/>
      <c r="I62" s="10"/>
      <c r="J62" s="44"/>
      <c r="K62" s="12"/>
      <c r="L62" s="11"/>
      <c r="M62" s="11"/>
      <c r="N62" s="11"/>
      <c r="O62" s="12"/>
      <c r="P62" s="12"/>
      <c r="Q62" s="12"/>
    </row>
    <row r="63" spans="2:17">
      <c r="B63" s="39" t="s">
        <v>187</v>
      </c>
      <c r="C63" s="40"/>
      <c r="D63" s="39"/>
      <c r="E63" s="39"/>
      <c r="F63" s="39"/>
      <c r="G63" s="39"/>
      <c r="H63" s="40">
        <v>6.32</v>
      </c>
      <c r="I63" s="39"/>
      <c r="J63" s="7"/>
      <c r="K63" s="41">
        <v>3.85E-2</v>
      </c>
      <c r="L63" s="42">
        <f>SUM(L64:L69)</f>
        <v>32120200</v>
      </c>
      <c r="M63" s="42">
        <f t="shared" ref="M63:Q63" si="7">SUM(M64:M69)</f>
        <v>591.78</v>
      </c>
      <c r="N63" s="42">
        <f t="shared" si="7"/>
        <v>16499.02</v>
      </c>
      <c r="O63" s="42"/>
      <c r="P63" s="41">
        <f t="shared" si="7"/>
        <v>1.3100000000000001E-2</v>
      </c>
      <c r="Q63" s="41">
        <f t="shared" si="7"/>
        <v>4.5371243386179323E-3</v>
      </c>
    </row>
    <row r="64" spans="2:17">
      <c r="B64" s="10" t="s">
        <v>188</v>
      </c>
      <c r="C64" s="43" t="s">
        <v>189</v>
      </c>
      <c r="D64" s="10" t="s">
        <v>184</v>
      </c>
      <c r="E64" s="10" t="s">
        <v>94</v>
      </c>
      <c r="F64" s="10" t="s">
        <v>118</v>
      </c>
      <c r="G64" s="10"/>
      <c r="H64" s="43">
        <v>2.5299999999999998</v>
      </c>
      <c r="I64" s="10" t="s">
        <v>43</v>
      </c>
      <c r="J64" s="44">
        <v>1.6250000000000001E-2</v>
      </c>
      <c r="K64" s="12">
        <v>1.37E-2</v>
      </c>
      <c r="L64" s="11">
        <v>200000</v>
      </c>
      <c r="M64" s="11">
        <v>101.34</v>
      </c>
      <c r="N64" s="11">
        <v>779.08</v>
      </c>
      <c r="O64" s="12">
        <v>0</v>
      </c>
      <c r="P64" s="12">
        <v>5.9999999999999995E-4</v>
      </c>
      <c r="Q64" s="12">
        <f>N64/'סכום נכסי הקרן'!$C$42</f>
        <v>2.1424198708350309E-4</v>
      </c>
    </row>
    <row r="65" spans="2:17">
      <c r="B65" s="10" t="s">
        <v>190</v>
      </c>
      <c r="C65" s="43" t="s">
        <v>191</v>
      </c>
      <c r="D65" s="10" t="s">
        <v>184</v>
      </c>
      <c r="E65" s="10" t="s">
        <v>94</v>
      </c>
      <c r="F65" s="10" t="s">
        <v>118</v>
      </c>
      <c r="G65" s="10"/>
      <c r="H65" s="43">
        <v>8.91</v>
      </c>
      <c r="I65" s="10" t="s">
        <v>43</v>
      </c>
      <c r="J65" s="44">
        <v>1.4999999999999999E-2</v>
      </c>
      <c r="K65" s="12">
        <v>2.5000000000000001E-2</v>
      </c>
      <c r="L65" s="11">
        <v>2477000</v>
      </c>
      <c r="M65" s="11">
        <v>92.16</v>
      </c>
      <c r="N65" s="11">
        <v>8775.48</v>
      </c>
      <c r="O65" s="12">
        <v>0</v>
      </c>
      <c r="P65" s="12">
        <v>7.0000000000000001E-3</v>
      </c>
      <c r="Q65" s="12">
        <f>N65/'סכום נכסי הקרן'!$C$42</f>
        <v>2.4132005350047999E-3</v>
      </c>
    </row>
    <row r="66" spans="2:17">
      <c r="B66" s="10" t="s">
        <v>192</v>
      </c>
      <c r="C66" s="43" t="s">
        <v>193</v>
      </c>
      <c r="D66" s="10" t="s">
        <v>184</v>
      </c>
      <c r="E66" s="10" t="s">
        <v>94</v>
      </c>
      <c r="F66" s="10" t="s">
        <v>118</v>
      </c>
      <c r="G66" s="10"/>
      <c r="H66" s="43">
        <v>3.81</v>
      </c>
      <c r="I66" s="10" t="s">
        <v>43</v>
      </c>
      <c r="J66" s="44">
        <v>1.6250000000000001E-2</v>
      </c>
      <c r="K66" s="12">
        <v>1.77E-2</v>
      </c>
      <c r="L66" s="11">
        <v>95200</v>
      </c>
      <c r="M66" s="11">
        <v>99.63</v>
      </c>
      <c r="N66" s="11">
        <v>364.59</v>
      </c>
      <c r="O66" s="12">
        <v>0</v>
      </c>
      <c r="P66" s="12">
        <v>2.9999999999999997E-4</v>
      </c>
      <c r="Q66" s="12">
        <f>N66/'סכום נכסי הקרן'!$C$42</f>
        <v>1.0025990408016427E-4</v>
      </c>
    </row>
    <row r="67" spans="2:17">
      <c r="B67" s="10" t="s">
        <v>194</v>
      </c>
      <c r="C67" s="43" t="s">
        <v>195</v>
      </c>
      <c r="D67" s="10" t="s">
        <v>184</v>
      </c>
      <c r="E67" s="10" t="s">
        <v>94</v>
      </c>
      <c r="F67" s="10" t="s">
        <v>118</v>
      </c>
      <c r="G67" s="10"/>
      <c r="H67" s="43">
        <v>1.66</v>
      </c>
      <c r="I67" s="10" t="s">
        <v>43</v>
      </c>
      <c r="J67" s="44">
        <v>7.4999999999999997E-3</v>
      </c>
      <c r="K67" s="12">
        <v>1.14E-2</v>
      </c>
      <c r="L67" s="11">
        <v>303000</v>
      </c>
      <c r="M67" s="11">
        <v>99.61</v>
      </c>
      <c r="N67" s="11">
        <f>1160.18+0.05</f>
        <v>1160.23</v>
      </c>
      <c r="O67" s="12">
        <v>0</v>
      </c>
      <c r="P67" s="12">
        <v>8.9999999999999998E-4</v>
      </c>
      <c r="Q67" s="12">
        <f>N67/'סכום נכסי הקרן'!$C$42</f>
        <v>3.1905578460991523E-4</v>
      </c>
    </row>
    <row r="68" spans="2:17">
      <c r="B68" s="10" t="s">
        <v>196</v>
      </c>
      <c r="C68" s="43" t="s">
        <v>197</v>
      </c>
      <c r="D68" s="10" t="s">
        <v>198</v>
      </c>
      <c r="E68" s="10" t="s">
        <v>94</v>
      </c>
      <c r="F68" s="10" t="s">
        <v>118</v>
      </c>
      <c r="G68" s="10"/>
      <c r="H68" s="43">
        <v>1.81</v>
      </c>
      <c r="I68" s="10" t="s">
        <v>43</v>
      </c>
      <c r="J68" s="44">
        <v>1.7500000000000002E-2</v>
      </c>
      <c r="K68" s="12">
        <v>1.15E-2</v>
      </c>
      <c r="L68" s="11">
        <v>45000</v>
      </c>
      <c r="M68" s="11">
        <v>101.37</v>
      </c>
      <c r="N68" s="11">
        <v>175.35</v>
      </c>
      <c r="O68" s="12">
        <v>0</v>
      </c>
      <c r="P68" s="12">
        <v>1E-4</v>
      </c>
      <c r="Q68" s="12">
        <f>N68/'סכום נכסי הקרן'!$C$42</f>
        <v>4.8220121727027088E-5</v>
      </c>
    </row>
    <row r="69" spans="2:17">
      <c r="B69" s="10" t="s">
        <v>199</v>
      </c>
      <c r="C69" s="43" t="s">
        <v>200</v>
      </c>
      <c r="D69" s="10" t="s">
        <v>184</v>
      </c>
      <c r="E69" s="10" t="s">
        <v>201</v>
      </c>
      <c r="F69" s="10" t="s">
        <v>202</v>
      </c>
      <c r="G69" s="10"/>
      <c r="H69" s="43">
        <v>3.91</v>
      </c>
      <c r="I69" s="10" t="s">
        <v>58</v>
      </c>
      <c r="J69" s="44">
        <v>6.5000000000000002E-2</v>
      </c>
      <c r="K69" s="12">
        <v>7.3200000000000001E-2</v>
      </c>
      <c r="L69" s="11">
        <v>29000000</v>
      </c>
      <c r="M69" s="11">
        <v>97.67</v>
      </c>
      <c r="N69" s="11">
        <f>5252.76-8.47</f>
        <v>5244.29</v>
      </c>
      <c r="O69" s="12">
        <v>4.0000000000000002E-4</v>
      </c>
      <c r="P69" s="12">
        <v>4.1999999999999997E-3</v>
      </c>
      <c r="Q69" s="12">
        <f>N69/'סכום נכסי הקרן'!$C$42</f>
        <v>1.4421460061125229E-3</v>
      </c>
    </row>
    <row r="72" spans="2:17">
      <c r="B72" s="3" t="s">
        <v>121</v>
      </c>
      <c r="C72" s="5"/>
      <c r="D72" s="3"/>
      <c r="E72" s="3"/>
      <c r="F72" s="3"/>
      <c r="G72" s="3"/>
      <c r="I72" s="3"/>
    </row>
    <row r="76" spans="2:17">
      <c r="B76" s="2" t="s">
        <v>76</v>
      </c>
    </row>
  </sheetData>
  <mergeCells count="4">
    <mergeCell ref="B6:L6"/>
    <mergeCell ref="M6:Q6"/>
    <mergeCell ref="B9:L9"/>
    <mergeCell ref="M9:Q9"/>
  </mergeCells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rightToLeft="1" workbookViewId="0">
      <selection activeCell="H8" sqref="G8:H8"/>
    </sheetView>
  </sheetViews>
  <sheetFormatPr defaultColWidth="9.140625" defaultRowHeight="12.75"/>
  <cols>
    <col min="1" max="1" width="3.42578125" customWidth="1"/>
    <col min="2" max="2" width="52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7.7109375" customWidth="1"/>
    <col min="16" max="16" width="20.7109375" customWidth="1"/>
  </cols>
  <sheetData>
    <row r="1" spans="2:16">
      <c r="B1" s="15" t="s">
        <v>1490</v>
      </c>
    </row>
    <row r="2" spans="2:16">
      <c r="B2" s="15" t="s">
        <v>1489</v>
      </c>
    </row>
    <row r="3" spans="2:16">
      <c r="B3" s="15" t="s">
        <v>2</v>
      </c>
    </row>
    <row r="4" spans="2:16">
      <c r="B4" s="15" t="s">
        <v>3</v>
      </c>
    </row>
    <row r="6" spans="2:16">
      <c r="B6" s="113" t="s">
        <v>1487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2:16">
      <c r="B7" s="49" t="s">
        <v>78</v>
      </c>
      <c r="C7" s="49" t="s">
        <v>79</v>
      </c>
      <c r="D7" s="49" t="s">
        <v>205</v>
      </c>
      <c r="E7" s="49" t="s">
        <v>81</v>
      </c>
      <c r="F7" s="49" t="s">
        <v>82</v>
      </c>
      <c r="G7" s="49" t="s">
        <v>125</v>
      </c>
      <c r="H7" s="49" t="s">
        <v>126</v>
      </c>
      <c r="I7" s="49" t="s">
        <v>83</v>
      </c>
      <c r="J7" s="49" t="s">
        <v>84</v>
      </c>
      <c r="K7" s="49" t="s">
        <v>1484</v>
      </c>
      <c r="L7" s="49" t="s">
        <v>127</v>
      </c>
      <c r="M7" s="49" t="s">
        <v>1485</v>
      </c>
      <c r="N7" s="49" t="s">
        <v>128</v>
      </c>
      <c r="O7" s="49" t="s">
        <v>129</v>
      </c>
      <c r="P7" s="49" t="s">
        <v>88</v>
      </c>
    </row>
    <row r="8" spans="2:16">
      <c r="B8" s="49"/>
      <c r="C8" s="49"/>
      <c r="D8" s="49"/>
      <c r="E8" s="49"/>
      <c r="F8" s="49"/>
      <c r="G8" s="49" t="s">
        <v>130</v>
      </c>
      <c r="H8" s="49" t="s">
        <v>131</v>
      </c>
      <c r="I8" s="49"/>
      <c r="J8" s="49" t="s">
        <v>89</v>
      </c>
      <c r="K8" s="49" t="s">
        <v>89</v>
      </c>
      <c r="L8" s="49" t="s">
        <v>132</v>
      </c>
      <c r="M8" s="49" t="s">
        <v>90</v>
      </c>
      <c r="N8" s="49" t="s">
        <v>89</v>
      </c>
      <c r="O8" s="49" t="s">
        <v>89</v>
      </c>
      <c r="P8" s="49" t="s">
        <v>89</v>
      </c>
    </row>
    <row r="9" spans="2:16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2:16">
      <c r="B10" s="8" t="s">
        <v>1418</v>
      </c>
      <c r="C10" s="38"/>
      <c r="D10" s="8"/>
      <c r="E10" s="8"/>
      <c r="F10" s="8"/>
      <c r="G10" s="8"/>
      <c r="H10" s="7"/>
      <c r="I10" s="8"/>
      <c r="J10" s="7"/>
      <c r="K10" s="7"/>
      <c r="L10" s="13">
        <v>0</v>
      </c>
      <c r="M10" s="13">
        <v>0</v>
      </c>
      <c r="N10" s="7"/>
      <c r="O10" s="14">
        <v>0</v>
      </c>
      <c r="P10" s="14">
        <v>0</v>
      </c>
    </row>
    <row r="11" spans="2:16">
      <c r="B11" s="8" t="s">
        <v>1419</v>
      </c>
      <c r="C11" s="38"/>
      <c r="D11" s="8"/>
      <c r="E11" s="8"/>
      <c r="F11" s="8"/>
      <c r="G11" s="8"/>
      <c r="H11" s="7"/>
      <c r="I11" s="8"/>
      <c r="J11" s="7"/>
      <c r="K11" s="7"/>
      <c r="L11" s="13">
        <v>0</v>
      </c>
      <c r="M11" s="13">
        <v>0</v>
      </c>
      <c r="N11" s="7"/>
      <c r="O11" s="14">
        <v>0</v>
      </c>
      <c r="P11" s="14">
        <v>0</v>
      </c>
    </row>
    <row r="12" spans="2:16">
      <c r="B12" s="39" t="s">
        <v>1420</v>
      </c>
      <c r="C12" s="40"/>
      <c r="D12" s="39"/>
      <c r="E12" s="39"/>
      <c r="F12" s="39"/>
      <c r="G12" s="39"/>
      <c r="H12" s="7"/>
      <c r="I12" s="39"/>
      <c r="J12" s="7"/>
      <c r="K12" s="7"/>
      <c r="L12" s="42">
        <v>0</v>
      </c>
      <c r="M12" s="42">
        <v>0</v>
      </c>
      <c r="N12" s="7"/>
      <c r="O12" s="41">
        <v>0</v>
      </c>
      <c r="P12" s="41">
        <v>0</v>
      </c>
    </row>
    <row r="13" spans="2:16">
      <c r="B13" s="39" t="s">
        <v>1422</v>
      </c>
      <c r="C13" s="40"/>
      <c r="D13" s="39"/>
      <c r="E13" s="39"/>
      <c r="F13" s="39"/>
      <c r="G13" s="39"/>
      <c r="H13" s="7"/>
      <c r="I13" s="39"/>
      <c r="J13" s="7"/>
      <c r="K13" s="7"/>
      <c r="L13" s="42">
        <v>0</v>
      </c>
      <c r="M13" s="42">
        <v>0</v>
      </c>
      <c r="N13" s="7"/>
      <c r="O13" s="41">
        <v>0</v>
      </c>
      <c r="P13" s="41">
        <v>0</v>
      </c>
    </row>
    <row r="14" spans="2:16">
      <c r="B14" s="39" t="s">
        <v>1423</v>
      </c>
      <c r="C14" s="40"/>
      <c r="D14" s="39"/>
      <c r="E14" s="39"/>
      <c r="F14" s="39"/>
      <c r="G14" s="39"/>
      <c r="H14" s="7"/>
      <c r="I14" s="39"/>
      <c r="J14" s="7"/>
      <c r="K14" s="7"/>
      <c r="L14" s="42">
        <v>0</v>
      </c>
      <c r="M14" s="42">
        <v>0</v>
      </c>
      <c r="N14" s="7"/>
      <c r="O14" s="41">
        <v>0</v>
      </c>
      <c r="P14" s="41">
        <v>0</v>
      </c>
    </row>
    <row r="15" spans="2:16">
      <c r="B15" s="39" t="s">
        <v>1424</v>
      </c>
      <c r="C15" s="40"/>
      <c r="D15" s="39"/>
      <c r="E15" s="39"/>
      <c r="F15" s="39"/>
      <c r="G15" s="39"/>
      <c r="H15" s="7"/>
      <c r="I15" s="39"/>
      <c r="J15" s="7"/>
      <c r="K15" s="7"/>
      <c r="L15" s="42">
        <v>0</v>
      </c>
      <c r="M15" s="42">
        <v>0</v>
      </c>
      <c r="N15" s="7"/>
      <c r="O15" s="41">
        <v>0</v>
      </c>
      <c r="P15" s="41">
        <v>0</v>
      </c>
    </row>
    <row r="16" spans="2:16">
      <c r="B16" s="39" t="s">
        <v>1425</v>
      </c>
      <c r="C16" s="40"/>
      <c r="D16" s="39"/>
      <c r="E16" s="39"/>
      <c r="F16" s="39"/>
      <c r="G16" s="39"/>
      <c r="H16" s="7"/>
      <c r="I16" s="39"/>
      <c r="J16" s="7"/>
      <c r="K16" s="7"/>
      <c r="L16" s="42">
        <v>0</v>
      </c>
      <c r="M16" s="42">
        <v>0</v>
      </c>
      <c r="N16" s="7"/>
      <c r="O16" s="41">
        <v>0</v>
      </c>
      <c r="P16" s="41">
        <v>0</v>
      </c>
    </row>
    <row r="17" spans="2:16">
      <c r="B17" s="39" t="s">
        <v>1426</v>
      </c>
      <c r="C17" s="40"/>
      <c r="D17" s="39"/>
      <c r="E17" s="39"/>
      <c r="F17" s="39"/>
      <c r="G17" s="39"/>
      <c r="H17" s="7"/>
      <c r="I17" s="39"/>
      <c r="J17" s="7"/>
      <c r="K17" s="7"/>
      <c r="L17" s="42">
        <v>0</v>
      </c>
      <c r="M17" s="42">
        <v>0</v>
      </c>
      <c r="N17" s="7"/>
      <c r="O17" s="41">
        <v>0</v>
      </c>
      <c r="P17" s="41">
        <v>0</v>
      </c>
    </row>
    <row r="18" spans="2:16">
      <c r="B18" s="39" t="s">
        <v>1427</v>
      </c>
      <c r="C18" s="40"/>
      <c r="D18" s="39"/>
      <c r="E18" s="39"/>
      <c r="F18" s="39"/>
      <c r="G18" s="39"/>
      <c r="H18" s="7"/>
      <c r="I18" s="39"/>
      <c r="J18" s="7"/>
      <c r="K18" s="7"/>
      <c r="L18" s="42">
        <v>0</v>
      </c>
      <c r="M18" s="42">
        <v>0</v>
      </c>
      <c r="N18" s="7"/>
      <c r="O18" s="41">
        <v>0</v>
      </c>
      <c r="P18" s="41">
        <v>0</v>
      </c>
    </row>
    <row r="19" spans="2:16">
      <c r="B19" s="39" t="s">
        <v>1428</v>
      </c>
      <c r="C19" s="40"/>
      <c r="D19" s="39"/>
      <c r="E19" s="39"/>
      <c r="F19" s="39"/>
      <c r="G19" s="39"/>
      <c r="H19" s="7"/>
      <c r="I19" s="39"/>
      <c r="J19" s="7"/>
      <c r="K19" s="7"/>
      <c r="L19" s="42">
        <v>0</v>
      </c>
      <c r="M19" s="42">
        <v>0</v>
      </c>
      <c r="N19" s="7"/>
      <c r="O19" s="41">
        <v>0</v>
      </c>
      <c r="P19" s="41">
        <v>0</v>
      </c>
    </row>
    <row r="20" spans="2:16">
      <c r="B20" s="39" t="s">
        <v>1429</v>
      </c>
      <c r="C20" s="40"/>
      <c r="D20" s="39"/>
      <c r="E20" s="39"/>
      <c r="F20" s="39"/>
      <c r="G20" s="39"/>
      <c r="H20" s="7"/>
      <c r="I20" s="39"/>
      <c r="J20" s="7"/>
      <c r="K20" s="7"/>
      <c r="L20" s="42">
        <v>0</v>
      </c>
      <c r="M20" s="42">
        <v>0</v>
      </c>
      <c r="N20" s="7"/>
      <c r="O20" s="41">
        <v>0</v>
      </c>
      <c r="P20" s="41">
        <v>0</v>
      </c>
    </row>
    <row r="21" spans="2:16">
      <c r="B21" s="8" t="s">
        <v>1469</v>
      </c>
      <c r="C21" s="38"/>
      <c r="D21" s="8"/>
      <c r="E21" s="8"/>
      <c r="F21" s="8"/>
      <c r="G21" s="8"/>
      <c r="H21" s="7"/>
      <c r="I21" s="8"/>
      <c r="J21" s="7"/>
      <c r="K21" s="7"/>
      <c r="L21" s="13">
        <v>0</v>
      </c>
      <c r="M21" s="13">
        <v>0</v>
      </c>
      <c r="N21" s="7"/>
      <c r="O21" s="14">
        <v>0</v>
      </c>
      <c r="P21" s="14">
        <v>0</v>
      </c>
    </row>
    <row r="24" spans="2:16">
      <c r="B24" s="3" t="s">
        <v>121</v>
      </c>
      <c r="C24" s="5"/>
      <c r="D24" s="3"/>
      <c r="E24" s="3"/>
      <c r="F24" s="3"/>
      <c r="G24" s="3"/>
      <c r="I24" s="3"/>
    </row>
    <row r="28" spans="2:16">
      <c r="B28" s="2" t="s">
        <v>76</v>
      </c>
    </row>
  </sheetData>
  <mergeCells count="3">
    <mergeCell ref="B6:I6"/>
    <mergeCell ref="J6:K6"/>
    <mergeCell ref="L6:P6"/>
  </mergeCells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6"/>
  <sheetViews>
    <sheetView rightToLeft="1" topLeftCell="K1" workbookViewId="0">
      <selection activeCell="M10" sqref="M10:T19"/>
    </sheetView>
  </sheetViews>
  <sheetFormatPr defaultColWidth="9.140625" defaultRowHeight="12.75"/>
  <cols>
    <col min="2" max="2" width="5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11.7109375" customWidth="1"/>
    <col min="18" max="18" width="24.7109375" customWidth="1"/>
    <col min="19" max="19" width="27.7109375" customWidth="1"/>
    <col min="20" max="20" width="20.7109375" customWidth="1"/>
  </cols>
  <sheetData>
    <row r="1" spans="2:20">
      <c r="B1" s="15" t="s">
        <v>1490</v>
      </c>
    </row>
    <row r="2" spans="2:20">
      <c r="B2" s="15" t="s">
        <v>1489</v>
      </c>
    </row>
    <row r="3" spans="2:20">
      <c r="B3" s="15" t="s">
        <v>2</v>
      </c>
    </row>
    <row r="4" spans="2:20">
      <c r="B4" s="15" t="s">
        <v>3</v>
      </c>
    </row>
    <row r="5" spans="2:20" ht="13.5" thickBot="1"/>
    <row r="6" spans="2:20" ht="13.5" thickBot="1">
      <c r="B6" s="113" t="s">
        <v>122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  <c r="N6" s="111"/>
      <c r="O6" s="111"/>
      <c r="P6" s="111"/>
      <c r="Q6" s="111"/>
      <c r="R6" s="110"/>
      <c r="S6" s="111"/>
      <c r="T6" s="111"/>
    </row>
    <row r="7" spans="2:20">
      <c r="B7" s="49" t="s">
        <v>203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7"/>
      <c r="N7" s="45"/>
      <c r="O7" s="45"/>
      <c r="P7" s="45"/>
      <c r="Q7" s="45"/>
      <c r="R7" s="45"/>
      <c r="S7" s="45"/>
      <c r="T7" s="45"/>
    </row>
    <row r="8" spans="2:20" ht="13.5" thickBot="1">
      <c r="B8" s="49" t="s">
        <v>78</v>
      </c>
      <c r="C8" s="49" t="s">
        <v>79</v>
      </c>
      <c r="D8" s="49" t="s">
        <v>124</v>
      </c>
      <c r="E8" s="49" t="s">
        <v>204</v>
      </c>
      <c r="F8" s="49" t="s">
        <v>80</v>
      </c>
      <c r="G8" s="49" t="s">
        <v>205</v>
      </c>
      <c r="H8" s="49" t="s">
        <v>81</v>
      </c>
      <c r="I8" s="49" t="s">
        <v>82</v>
      </c>
      <c r="J8" s="49" t="s">
        <v>125</v>
      </c>
      <c r="K8" s="49" t="s">
        <v>126</v>
      </c>
      <c r="L8" s="49" t="s">
        <v>83</v>
      </c>
      <c r="M8" s="48" t="s">
        <v>84</v>
      </c>
      <c r="N8" s="46" t="s">
        <v>85</v>
      </c>
      <c r="O8" s="46" t="s">
        <v>127</v>
      </c>
      <c r="P8" s="46" t="s">
        <v>42</v>
      </c>
      <c r="Q8" s="46" t="s">
        <v>86</v>
      </c>
      <c r="R8" s="46" t="s">
        <v>128</v>
      </c>
      <c r="S8" s="46" t="s">
        <v>129</v>
      </c>
      <c r="T8" s="46" t="s">
        <v>88</v>
      </c>
    </row>
    <row r="9" spans="2:20">
      <c r="B9" s="113"/>
      <c r="C9" s="113"/>
      <c r="D9" s="113"/>
      <c r="E9" s="113"/>
      <c r="F9" s="113"/>
      <c r="G9" s="113"/>
      <c r="H9" s="113"/>
      <c r="I9" s="113"/>
      <c r="J9" s="113" t="s">
        <v>130</v>
      </c>
      <c r="K9" s="113" t="s">
        <v>131</v>
      </c>
      <c r="L9" s="113"/>
      <c r="M9" s="114" t="s">
        <v>89</v>
      </c>
      <c r="N9" s="114" t="s">
        <v>89</v>
      </c>
      <c r="O9" s="114" t="s">
        <v>132</v>
      </c>
      <c r="P9" s="114" t="s">
        <v>133</v>
      </c>
      <c r="Q9" s="114" t="s">
        <v>90</v>
      </c>
      <c r="R9" s="115" t="s">
        <v>89</v>
      </c>
      <c r="S9" s="114" t="s">
        <v>89</v>
      </c>
      <c r="T9" s="114" t="s">
        <v>89</v>
      </c>
    </row>
    <row r="10" spans="2:20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>
      <c r="B11" s="8" t="s">
        <v>206</v>
      </c>
      <c r="C11" s="38"/>
      <c r="D11" s="8"/>
      <c r="E11" s="8"/>
      <c r="F11" s="8"/>
      <c r="G11" s="8"/>
      <c r="H11" s="8"/>
      <c r="I11" s="8"/>
      <c r="J11" s="8"/>
      <c r="K11" s="7"/>
      <c r="L11" s="8"/>
      <c r="M11" s="7"/>
      <c r="N11" s="7"/>
      <c r="O11" s="13">
        <v>0</v>
      </c>
      <c r="P11" s="7"/>
      <c r="Q11" s="13">
        <v>0</v>
      </c>
      <c r="R11" s="7"/>
      <c r="S11" s="14">
        <v>0</v>
      </c>
      <c r="T11" s="14">
        <v>0</v>
      </c>
    </row>
    <row r="12" spans="2:20">
      <c r="B12" s="8" t="s">
        <v>207</v>
      </c>
      <c r="C12" s="38"/>
      <c r="D12" s="8"/>
      <c r="E12" s="8"/>
      <c r="F12" s="8"/>
      <c r="G12" s="8"/>
      <c r="H12" s="8"/>
      <c r="I12" s="8"/>
      <c r="J12" s="8"/>
      <c r="K12" s="7"/>
      <c r="L12" s="8"/>
      <c r="M12" s="7"/>
      <c r="N12" s="7"/>
      <c r="O12" s="13">
        <v>0</v>
      </c>
      <c r="P12" s="7"/>
      <c r="Q12" s="13">
        <v>0</v>
      </c>
      <c r="R12" s="7"/>
      <c r="S12" s="14">
        <v>0</v>
      </c>
      <c r="T12" s="14">
        <v>0</v>
      </c>
    </row>
    <row r="13" spans="2:20">
      <c r="B13" s="39" t="s">
        <v>208</v>
      </c>
      <c r="C13" s="40"/>
      <c r="D13" s="39"/>
      <c r="E13" s="39"/>
      <c r="F13" s="39"/>
      <c r="G13" s="39"/>
      <c r="H13" s="39"/>
      <c r="I13" s="39"/>
      <c r="J13" s="39"/>
      <c r="K13" s="7"/>
      <c r="L13" s="39"/>
      <c r="M13" s="7"/>
      <c r="N13" s="7"/>
      <c r="O13" s="42">
        <v>0</v>
      </c>
      <c r="P13" s="7"/>
      <c r="Q13" s="42">
        <v>0</v>
      </c>
      <c r="R13" s="7"/>
      <c r="S13" s="41">
        <v>0</v>
      </c>
      <c r="T13" s="41">
        <v>0</v>
      </c>
    </row>
    <row r="14" spans="2:20">
      <c r="B14" s="39" t="s">
        <v>209</v>
      </c>
      <c r="C14" s="40"/>
      <c r="D14" s="39"/>
      <c r="E14" s="39"/>
      <c r="F14" s="39"/>
      <c r="G14" s="39"/>
      <c r="H14" s="39"/>
      <c r="I14" s="39"/>
      <c r="J14" s="39"/>
      <c r="K14" s="7"/>
      <c r="L14" s="39"/>
      <c r="M14" s="7"/>
      <c r="N14" s="7"/>
      <c r="O14" s="42">
        <v>0</v>
      </c>
      <c r="P14" s="7"/>
      <c r="Q14" s="42">
        <v>0</v>
      </c>
      <c r="R14" s="7"/>
      <c r="S14" s="41">
        <v>0</v>
      </c>
      <c r="T14" s="41">
        <v>0</v>
      </c>
    </row>
    <row r="15" spans="2:20">
      <c r="B15" s="39" t="s">
        <v>210</v>
      </c>
      <c r="C15" s="40"/>
      <c r="D15" s="39"/>
      <c r="E15" s="39"/>
      <c r="F15" s="39"/>
      <c r="G15" s="39"/>
      <c r="H15" s="39"/>
      <c r="I15" s="39"/>
      <c r="J15" s="39"/>
      <c r="K15" s="7"/>
      <c r="L15" s="39"/>
      <c r="M15" s="7"/>
      <c r="N15" s="7"/>
      <c r="O15" s="42">
        <v>0</v>
      </c>
      <c r="P15" s="7"/>
      <c r="Q15" s="42">
        <v>0</v>
      </c>
      <c r="R15" s="7"/>
      <c r="S15" s="41">
        <v>0</v>
      </c>
      <c r="T15" s="41">
        <v>0</v>
      </c>
    </row>
    <row r="16" spans="2:20">
      <c r="B16" s="39" t="s">
        <v>211</v>
      </c>
      <c r="C16" s="40"/>
      <c r="D16" s="39"/>
      <c r="E16" s="39"/>
      <c r="F16" s="39"/>
      <c r="G16" s="39"/>
      <c r="H16" s="39"/>
      <c r="I16" s="39"/>
      <c r="J16" s="39"/>
      <c r="K16" s="7"/>
      <c r="L16" s="39"/>
      <c r="M16" s="7"/>
      <c r="N16" s="7"/>
      <c r="O16" s="42">
        <v>0</v>
      </c>
      <c r="P16" s="7"/>
      <c r="Q16" s="42">
        <v>0</v>
      </c>
      <c r="R16" s="7"/>
      <c r="S16" s="41">
        <v>0</v>
      </c>
      <c r="T16" s="41">
        <v>0</v>
      </c>
    </row>
    <row r="17" spans="2:20">
      <c r="B17" s="8" t="s">
        <v>212</v>
      </c>
      <c r="C17" s="38"/>
      <c r="D17" s="8"/>
      <c r="E17" s="8"/>
      <c r="F17" s="8"/>
      <c r="G17" s="8"/>
      <c r="H17" s="8"/>
      <c r="I17" s="8"/>
      <c r="J17" s="8"/>
      <c r="K17" s="7"/>
      <c r="L17" s="8"/>
      <c r="M17" s="7"/>
      <c r="N17" s="7"/>
      <c r="O17" s="13">
        <v>0</v>
      </c>
      <c r="P17" s="7"/>
      <c r="Q17" s="13">
        <v>0</v>
      </c>
      <c r="R17" s="7"/>
      <c r="S17" s="14">
        <v>0</v>
      </c>
      <c r="T17" s="14">
        <v>0</v>
      </c>
    </row>
    <row r="18" spans="2:20">
      <c r="B18" s="39" t="s">
        <v>213</v>
      </c>
      <c r="C18" s="40"/>
      <c r="D18" s="39"/>
      <c r="E18" s="39"/>
      <c r="F18" s="39"/>
      <c r="G18" s="39"/>
      <c r="H18" s="39"/>
      <c r="I18" s="39"/>
      <c r="J18" s="39"/>
      <c r="K18" s="7"/>
      <c r="L18" s="39"/>
      <c r="M18" s="7"/>
      <c r="N18" s="7"/>
      <c r="O18" s="42">
        <v>0</v>
      </c>
      <c r="P18" s="7"/>
      <c r="Q18" s="42">
        <v>0</v>
      </c>
      <c r="R18" s="7"/>
      <c r="S18" s="41">
        <v>0</v>
      </c>
      <c r="T18" s="41">
        <v>0</v>
      </c>
    </row>
    <row r="19" spans="2:20">
      <c r="B19" s="39" t="s">
        <v>214</v>
      </c>
      <c r="C19" s="40"/>
      <c r="D19" s="39"/>
      <c r="E19" s="39"/>
      <c r="F19" s="39"/>
      <c r="G19" s="39"/>
      <c r="H19" s="39"/>
      <c r="I19" s="39"/>
      <c r="J19" s="39"/>
      <c r="K19" s="7"/>
      <c r="L19" s="39"/>
      <c r="M19" s="7"/>
      <c r="N19" s="7"/>
      <c r="O19" s="42">
        <v>0</v>
      </c>
      <c r="P19" s="7"/>
      <c r="Q19" s="42">
        <v>0</v>
      </c>
      <c r="R19" s="7"/>
      <c r="S19" s="41">
        <v>0</v>
      </c>
      <c r="T19" s="41">
        <v>0</v>
      </c>
    </row>
    <row r="22" spans="2:20">
      <c r="B22" s="3" t="s">
        <v>121</v>
      </c>
      <c r="C22" s="5"/>
      <c r="D22" s="3"/>
      <c r="E22" s="3"/>
      <c r="F22" s="3"/>
      <c r="G22" s="3"/>
      <c r="H22" s="3"/>
      <c r="I22" s="3"/>
      <c r="J22" s="3"/>
      <c r="L22" s="3"/>
    </row>
    <row r="26" spans="2:20">
      <c r="B26" s="2" t="s">
        <v>76</v>
      </c>
    </row>
  </sheetData>
  <mergeCells count="6">
    <mergeCell ref="B6:L6"/>
    <mergeCell ref="M6:Q6"/>
    <mergeCell ref="R6:T6"/>
    <mergeCell ref="B9:L9"/>
    <mergeCell ref="M9:Q9"/>
    <mergeCell ref="R9:T9"/>
  </mergeCells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1"/>
  <sheetViews>
    <sheetView rightToLeft="1" topLeftCell="A331" zoomScale="80" zoomScaleNormal="80" workbookViewId="0">
      <selection activeCell="B1" sqref="B1:T1048576"/>
    </sheetView>
  </sheetViews>
  <sheetFormatPr defaultColWidth="9.140625" defaultRowHeight="12.75"/>
  <cols>
    <col min="1" max="1" width="0.5703125" customWidth="1"/>
    <col min="2" max="2" width="33.2851562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9.28515625" customWidth="1"/>
    <col min="8" max="8" width="8.7109375" customWidth="1"/>
    <col min="9" max="9" width="10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13.7109375" customWidth="1"/>
    <col min="18" max="18" width="24.7109375" customWidth="1"/>
    <col min="19" max="19" width="27.7109375" customWidth="1"/>
    <col min="20" max="20" width="20.7109375" customWidth="1"/>
  </cols>
  <sheetData>
    <row r="1" spans="2:20">
      <c r="B1" s="15" t="s">
        <v>1490</v>
      </c>
    </row>
    <row r="2" spans="2:20">
      <c r="B2" s="15" t="s">
        <v>1489</v>
      </c>
    </row>
    <row r="3" spans="2:20">
      <c r="B3" s="15" t="s">
        <v>2</v>
      </c>
    </row>
    <row r="4" spans="2:20">
      <c r="B4" s="15" t="s">
        <v>3</v>
      </c>
    </row>
    <row r="6" spans="2:20">
      <c r="B6" s="113" t="s">
        <v>122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spans="2:20">
      <c r="B7" s="49" t="s">
        <v>215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2:20">
      <c r="B8" s="49" t="s">
        <v>78</v>
      </c>
      <c r="C8" s="49" t="s">
        <v>79</v>
      </c>
      <c r="D8" s="49" t="s">
        <v>124</v>
      </c>
      <c r="E8" s="49" t="s">
        <v>204</v>
      </c>
      <c r="F8" s="49" t="s">
        <v>80</v>
      </c>
      <c r="G8" s="49" t="s">
        <v>205</v>
      </c>
      <c r="H8" s="49" t="s">
        <v>81</v>
      </c>
      <c r="I8" s="49" t="s">
        <v>82</v>
      </c>
      <c r="J8" s="49" t="s">
        <v>125</v>
      </c>
      <c r="K8" s="49" t="s">
        <v>126</v>
      </c>
      <c r="L8" s="49" t="s">
        <v>83</v>
      </c>
      <c r="M8" s="49" t="s">
        <v>84</v>
      </c>
      <c r="N8" s="49" t="s">
        <v>85</v>
      </c>
      <c r="O8" s="49" t="s">
        <v>127</v>
      </c>
      <c r="P8" s="49" t="s">
        <v>42</v>
      </c>
      <c r="Q8" s="49" t="s">
        <v>86</v>
      </c>
      <c r="R8" s="49" t="s">
        <v>128</v>
      </c>
      <c r="S8" s="49" t="s">
        <v>129</v>
      </c>
      <c r="T8" s="49" t="s">
        <v>88</v>
      </c>
    </row>
    <row r="9" spans="2:20">
      <c r="B9" s="113"/>
      <c r="C9" s="113"/>
      <c r="D9" s="113"/>
      <c r="E9" s="113"/>
      <c r="F9" s="113"/>
      <c r="G9" s="113"/>
      <c r="H9" s="113"/>
      <c r="I9" s="113"/>
      <c r="J9" s="113" t="s">
        <v>130</v>
      </c>
      <c r="K9" s="113" t="s">
        <v>131</v>
      </c>
      <c r="L9" s="113"/>
      <c r="M9" s="113" t="s">
        <v>89</v>
      </c>
      <c r="N9" s="113" t="s">
        <v>89</v>
      </c>
      <c r="O9" s="113" t="s">
        <v>132</v>
      </c>
      <c r="P9" s="113" t="s">
        <v>133</v>
      </c>
      <c r="Q9" s="113" t="s">
        <v>90</v>
      </c>
      <c r="R9" s="113" t="s">
        <v>89</v>
      </c>
      <c r="S9" s="113" t="s">
        <v>89</v>
      </c>
      <c r="T9" s="113" t="s">
        <v>89</v>
      </c>
    </row>
    <row r="10" spans="2:20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>
      <c r="B11" s="8" t="s">
        <v>216</v>
      </c>
      <c r="C11" s="38"/>
      <c r="D11" s="8"/>
      <c r="E11" s="8"/>
      <c r="F11" s="8"/>
      <c r="G11" s="8"/>
      <c r="H11" s="8"/>
      <c r="I11" s="8"/>
      <c r="J11" s="8"/>
      <c r="K11" s="38"/>
      <c r="L11" s="8"/>
      <c r="M11" s="7"/>
      <c r="N11" s="14"/>
      <c r="O11" s="13">
        <f>O13+O292</f>
        <v>831108863.72000027</v>
      </c>
      <c r="P11" s="13"/>
      <c r="Q11" s="13">
        <f>Q13+Q292</f>
        <v>761302.50999999978</v>
      </c>
      <c r="R11" s="13"/>
      <c r="S11" s="52">
        <f>S13+S292</f>
        <v>0.99999999999999989</v>
      </c>
      <c r="T11" s="52">
        <f>T13+T292</f>
        <v>0.20794378868368002</v>
      </c>
    </row>
    <row r="12" spans="2:20">
      <c r="B12" s="8"/>
      <c r="C12" s="38"/>
      <c r="D12" s="8"/>
      <c r="E12" s="8"/>
      <c r="F12" s="8"/>
      <c r="G12" s="8"/>
      <c r="H12" s="8"/>
      <c r="I12" s="8"/>
      <c r="J12" s="8"/>
      <c r="K12" s="38"/>
      <c r="L12" s="8"/>
      <c r="M12" s="7"/>
      <c r="N12" s="14"/>
      <c r="O12" s="13"/>
      <c r="P12" s="7"/>
      <c r="Q12" s="13"/>
      <c r="R12" s="7"/>
      <c r="S12" s="14"/>
      <c r="T12" s="14"/>
    </row>
    <row r="13" spans="2:20">
      <c r="B13" s="8" t="s">
        <v>217</v>
      </c>
      <c r="C13" s="38"/>
      <c r="D13" s="8"/>
      <c r="E13" s="8"/>
      <c r="F13" s="8"/>
      <c r="G13" s="8"/>
      <c r="H13" s="8"/>
      <c r="I13" s="8"/>
      <c r="J13" s="8"/>
      <c r="K13" s="38"/>
      <c r="L13" s="8"/>
      <c r="M13" s="7"/>
      <c r="N13" s="14"/>
      <c r="O13" s="13">
        <f>O15+O192+O284</f>
        <v>551453363.72000027</v>
      </c>
      <c r="P13" s="13"/>
      <c r="Q13" s="13">
        <f>Q15+Q192+Q284</f>
        <v>598955.5399999998</v>
      </c>
      <c r="R13" s="13"/>
      <c r="S13" s="52">
        <f>S15+S192+S284</f>
        <v>0.78469999999999984</v>
      </c>
      <c r="T13" s="52">
        <f>T15+T192+T284</f>
        <v>0.16470891957728678</v>
      </c>
    </row>
    <row r="14" spans="2:20">
      <c r="B14" s="8"/>
      <c r="C14" s="38"/>
      <c r="D14" s="8"/>
      <c r="E14" s="8"/>
      <c r="F14" s="8"/>
      <c r="G14" s="8"/>
      <c r="H14" s="8"/>
      <c r="I14" s="8"/>
      <c r="J14" s="8"/>
      <c r="K14" s="38"/>
      <c r="L14" s="8"/>
      <c r="M14" s="7"/>
      <c r="N14" s="14"/>
      <c r="O14" s="13"/>
      <c r="P14" s="7"/>
      <c r="Q14" s="13"/>
      <c r="R14" s="7"/>
      <c r="S14" s="14"/>
      <c r="T14" s="14"/>
    </row>
    <row r="15" spans="2:20">
      <c r="B15" s="39" t="s">
        <v>218</v>
      </c>
      <c r="C15" s="40"/>
      <c r="D15" s="39"/>
      <c r="E15" s="39"/>
      <c r="F15" s="39"/>
      <c r="G15" s="39"/>
      <c r="H15" s="39"/>
      <c r="I15" s="39"/>
      <c r="J15" s="39"/>
      <c r="K15" s="40"/>
      <c r="L15" s="39"/>
      <c r="M15" s="7"/>
      <c r="N15" s="41"/>
      <c r="O15" s="42">
        <f>SUM(O16:O190)</f>
        <v>388814127.95000023</v>
      </c>
      <c r="P15" s="42"/>
      <c r="Q15" s="42">
        <f>SUM(Q16:Q190)</f>
        <v>431853.26209999988</v>
      </c>
      <c r="R15" s="42"/>
      <c r="S15" s="50">
        <f>SUM(S16:S190)</f>
        <v>0.56329999999999991</v>
      </c>
      <c r="T15" s="50">
        <f>SUM(T16:T190)</f>
        <v>0.11875686835857274</v>
      </c>
    </row>
    <row r="16" spans="2:20">
      <c r="B16" s="10" t="s">
        <v>219</v>
      </c>
      <c r="C16" s="43">
        <v>6040315</v>
      </c>
      <c r="D16" s="10" t="s">
        <v>138</v>
      </c>
      <c r="E16" s="10"/>
      <c r="F16" s="10">
        <v>604</v>
      </c>
      <c r="G16" s="10" t="s">
        <v>220</v>
      </c>
      <c r="H16" s="10" t="s">
        <v>221</v>
      </c>
      <c r="I16" s="10" t="s">
        <v>95</v>
      </c>
      <c r="J16" s="10"/>
      <c r="K16" s="43">
        <v>3.47</v>
      </c>
      <c r="L16" s="10" t="s">
        <v>96</v>
      </c>
      <c r="M16" s="44">
        <v>5.8999999999999999E-3</v>
      </c>
      <c r="N16" s="12">
        <v>8.9999999999999993E-3</v>
      </c>
      <c r="O16" s="11">
        <v>11963059.5</v>
      </c>
      <c r="P16" s="11">
        <v>98.95</v>
      </c>
      <c r="Q16" s="11">
        <f>11837.45-16.03</f>
        <v>11821.42</v>
      </c>
      <c r="R16" s="12">
        <v>2.2000000000000001E-3</v>
      </c>
      <c r="S16" s="12">
        <v>1.54E-2</v>
      </c>
      <c r="T16" s="12">
        <f>Q16/'סכום נכסי הקרן'!$C$42</f>
        <v>3.2508144361922588E-3</v>
      </c>
    </row>
    <row r="17" spans="2:20">
      <c r="B17" s="10" t="s">
        <v>222</v>
      </c>
      <c r="C17" s="43">
        <v>2310118</v>
      </c>
      <c r="D17" s="10" t="s">
        <v>138</v>
      </c>
      <c r="E17" s="10"/>
      <c r="F17" s="10">
        <v>231</v>
      </c>
      <c r="G17" s="10" t="s">
        <v>220</v>
      </c>
      <c r="H17" s="10" t="s">
        <v>221</v>
      </c>
      <c r="I17" s="10" t="s">
        <v>95</v>
      </c>
      <c r="J17" s="10"/>
      <c r="K17" s="43">
        <v>1.99</v>
      </c>
      <c r="L17" s="10" t="s">
        <v>96</v>
      </c>
      <c r="M17" s="44">
        <v>2.58E-2</v>
      </c>
      <c r="N17" s="12">
        <v>7.6E-3</v>
      </c>
      <c r="O17" s="11">
        <v>11913586</v>
      </c>
      <c r="P17" s="11">
        <v>108.3</v>
      </c>
      <c r="Q17" s="11">
        <v>12902.41</v>
      </c>
      <c r="R17" s="12">
        <v>4.4000000000000003E-3</v>
      </c>
      <c r="S17" s="12">
        <v>1.6799999999999999E-2</v>
      </c>
      <c r="T17" s="12">
        <f>Q17/'סכום נכסי הקרן'!$C$42</f>
        <v>3.5480797306644517E-3</v>
      </c>
    </row>
    <row r="18" spans="2:20">
      <c r="B18" s="10" t="s">
        <v>223</v>
      </c>
      <c r="C18" s="43">
        <v>2310209</v>
      </c>
      <c r="D18" s="10" t="s">
        <v>138</v>
      </c>
      <c r="E18" s="10"/>
      <c r="F18" s="10">
        <v>231</v>
      </c>
      <c r="G18" s="10" t="s">
        <v>220</v>
      </c>
      <c r="H18" s="10" t="s">
        <v>221</v>
      </c>
      <c r="I18" s="10" t="s">
        <v>95</v>
      </c>
      <c r="J18" s="10"/>
      <c r="K18" s="43">
        <v>5.59</v>
      </c>
      <c r="L18" s="10" t="s">
        <v>96</v>
      </c>
      <c r="M18" s="44">
        <v>9.9000000000000008E-3</v>
      </c>
      <c r="N18" s="12">
        <v>1.11E-2</v>
      </c>
      <c r="O18" s="11">
        <v>31992000</v>
      </c>
      <c r="P18" s="11">
        <v>99.61</v>
      </c>
      <c r="Q18" s="11">
        <v>31867.23</v>
      </c>
      <c r="R18" s="12">
        <v>1.06E-2</v>
      </c>
      <c r="S18" s="12">
        <v>4.1399999999999999E-2</v>
      </c>
      <c r="T18" s="12">
        <f>Q18/'סכום נכסי הקרן'!$C$42</f>
        <v>8.7632832033257453E-3</v>
      </c>
    </row>
    <row r="19" spans="2:20">
      <c r="B19" s="10" t="s">
        <v>224</v>
      </c>
      <c r="C19" s="43">
        <v>2310126</v>
      </c>
      <c r="D19" s="10" t="s">
        <v>138</v>
      </c>
      <c r="E19" s="10"/>
      <c r="F19" s="10">
        <v>231</v>
      </c>
      <c r="G19" s="10" t="s">
        <v>220</v>
      </c>
      <c r="H19" s="10" t="s">
        <v>221</v>
      </c>
      <c r="I19" s="10" t="s">
        <v>95</v>
      </c>
      <c r="J19" s="10"/>
      <c r="K19" s="43">
        <v>0.68</v>
      </c>
      <c r="L19" s="10" t="s">
        <v>96</v>
      </c>
      <c r="M19" s="7"/>
      <c r="N19" s="12">
        <v>7.7000000000000002E-3</v>
      </c>
      <c r="O19" s="11">
        <v>1473980</v>
      </c>
      <c r="P19" s="11">
        <v>99.48</v>
      </c>
      <c r="Q19" s="11">
        <v>1466.32</v>
      </c>
      <c r="R19" s="12">
        <v>8.0000000000000004E-4</v>
      </c>
      <c r="S19" s="12">
        <f>0.19%-0.0003</f>
        <v>1.6000000000000001E-3</v>
      </c>
      <c r="T19" s="12">
        <f>Q19/'סכום נכסי הקרן'!$C$42</f>
        <v>4.0322856510279073E-4</v>
      </c>
    </row>
    <row r="20" spans="2:20">
      <c r="B20" s="10" t="s">
        <v>225</v>
      </c>
      <c r="C20" s="43">
        <v>2310142</v>
      </c>
      <c r="D20" s="10" t="s">
        <v>138</v>
      </c>
      <c r="E20" s="10"/>
      <c r="F20" s="10">
        <v>231</v>
      </c>
      <c r="G20" s="10" t="s">
        <v>220</v>
      </c>
      <c r="H20" s="10" t="s">
        <v>221</v>
      </c>
      <c r="I20" s="10" t="s">
        <v>95</v>
      </c>
      <c r="J20" s="10"/>
      <c r="K20" s="43">
        <v>2.67</v>
      </c>
      <c r="L20" s="10" t="s">
        <v>96</v>
      </c>
      <c r="M20" s="44">
        <v>4.1000000000000003E-3</v>
      </c>
      <c r="N20" s="12">
        <v>9.7000000000000003E-3</v>
      </c>
      <c r="O20" s="11">
        <v>83335.08</v>
      </c>
      <c r="P20" s="11">
        <v>98.63</v>
      </c>
      <c r="Q20" s="11">
        <v>82.19</v>
      </c>
      <c r="R20" s="12">
        <v>0</v>
      </c>
      <c r="S20" s="12">
        <v>1E-4</v>
      </c>
      <c r="T20" s="12">
        <f>Q20/'סכום נכסי הקרן'!$C$42</f>
        <v>2.2601721156226725E-5</v>
      </c>
    </row>
    <row r="21" spans="2:20">
      <c r="B21" s="10" t="s">
        <v>226</v>
      </c>
      <c r="C21" s="43">
        <v>2310159</v>
      </c>
      <c r="D21" s="10" t="s">
        <v>138</v>
      </c>
      <c r="E21" s="10"/>
      <c r="F21" s="10">
        <v>231</v>
      </c>
      <c r="G21" s="10" t="s">
        <v>220</v>
      </c>
      <c r="H21" s="10" t="s">
        <v>221</v>
      </c>
      <c r="I21" s="10" t="s">
        <v>95</v>
      </c>
      <c r="J21" s="10"/>
      <c r="K21" s="43">
        <v>3.06</v>
      </c>
      <c r="L21" s="10" t="s">
        <v>96</v>
      </c>
      <c r="M21" s="44">
        <v>6.4000000000000003E-3</v>
      </c>
      <c r="N21" s="12">
        <v>9.7000000000000003E-3</v>
      </c>
      <c r="O21" s="11">
        <v>78301</v>
      </c>
      <c r="P21" s="11">
        <v>99.57</v>
      </c>
      <c r="Q21" s="11">
        <v>77.959999999999994</v>
      </c>
      <c r="R21" s="12">
        <v>0</v>
      </c>
      <c r="S21" s="12">
        <v>1E-4</v>
      </c>
      <c r="T21" s="12">
        <f>Q21/'סכום נכסי הקרן'!$C$42</f>
        <v>2.1438498373761229E-5</v>
      </c>
    </row>
    <row r="22" spans="2:20">
      <c r="B22" s="10" t="s">
        <v>227</v>
      </c>
      <c r="C22" s="43">
        <v>2310191</v>
      </c>
      <c r="D22" s="10" t="s">
        <v>138</v>
      </c>
      <c r="E22" s="10"/>
      <c r="F22" s="10">
        <v>231</v>
      </c>
      <c r="G22" s="10" t="s">
        <v>220</v>
      </c>
      <c r="H22" s="10" t="s">
        <v>221</v>
      </c>
      <c r="I22" s="10" t="s">
        <v>95</v>
      </c>
      <c r="J22" s="10"/>
      <c r="K22" s="43">
        <v>4.25</v>
      </c>
      <c r="L22" s="10" t="s">
        <v>96</v>
      </c>
      <c r="M22" s="44">
        <v>0.04</v>
      </c>
      <c r="N22" s="12">
        <v>8.0000000000000002E-3</v>
      </c>
      <c r="O22" s="11">
        <v>27376000</v>
      </c>
      <c r="P22" s="11">
        <v>116.35</v>
      </c>
      <c r="Q22" s="11">
        <v>31851.98</v>
      </c>
      <c r="R22" s="12">
        <v>1.32E-2</v>
      </c>
      <c r="S22" s="12">
        <v>4.1399999999999999E-2</v>
      </c>
      <c r="T22" s="12">
        <f>Q22/'סכום נכסי הקרן'!$C$42</f>
        <v>8.7590895514504264E-3</v>
      </c>
    </row>
    <row r="23" spans="2:20">
      <c r="B23" s="10" t="s">
        <v>228</v>
      </c>
      <c r="C23" s="43">
        <v>1940535</v>
      </c>
      <c r="D23" s="10" t="s">
        <v>138</v>
      </c>
      <c r="E23" s="10"/>
      <c r="F23" s="10">
        <v>194</v>
      </c>
      <c r="G23" s="10" t="s">
        <v>220</v>
      </c>
      <c r="H23" s="10" t="s">
        <v>221</v>
      </c>
      <c r="I23" s="10" t="s">
        <v>95</v>
      </c>
      <c r="J23" s="10"/>
      <c r="K23" s="43">
        <v>4.96</v>
      </c>
      <c r="L23" s="10" t="s">
        <v>96</v>
      </c>
      <c r="M23" s="44">
        <v>0.05</v>
      </c>
      <c r="N23" s="12">
        <v>9.5999999999999992E-3</v>
      </c>
      <c r="O23" s="11">
        <v>21071000</v>
      </c>
      <c r="P23" s="11">
        <v>126.5</v>
      </c>
      <c r="Q23" s="11">
        <v>26654.81</v>
      </c>
      <c r="R23" s="12">
        <v>6.7000000000000002E-3</v>
      </c>
      <c r="S23" s="12">
        <v>3.4599999999999999E-2</v>
      </c>
      <c r="T23" s="12">
        <f>Q23/'סכום נכסי הקרן'!$C$42</f>
        <v>7.3299012421487253E-3</v>
      </c>
    </row>
    <row r="24" spans="2:20">
      <c r="B24" s="10" t="s">
        <v>229</v>
      </c>
      <c r="C24" s="43">
        <v>1940527</v>
      </c>
      <c r="D24" s="10" t="s">
        <v>138</v>
      </c>
      <c r="E24" s="10"/>
      <c r="F24" s="10">
        <v>194</v>
      </c>
      <c r="G24" s="10" t="s">
        <v>220</v>
      </c>
      <c r="H24" s="10" t="s">
        <v>221</v>
      </c>
      <c r="I24" s="10" t="s">
        <v>95</v>
      </c>
      <c r="J24" s="10"/>
      <c r="K24" s="43">
        <v>1.08</v>
      </c>
      <c r="L24" s="10" t="s">
        <v>96</v>
      </c>
      <c r="M24" s="44">
        <v>4.4999999999999998E-2</v>
      </c>
      <c r="N24" s="12">
        <v>3.5000000000000001E-3</v>
      </c>
      <c r="O24" s="11">
        <v>1719910.09</v>
      </c>
      <c r="P24" s="11">
        <v>108.52</v>
      </c>
      <c r="Q24" s="11">
        <v>1866.45</v>
      </c>
      <c r="R24" s="12">
        <v>5.3E-3</v>
      </c>
      <c r="S24" s="12">
        <v>2.3999999999999998E-3</v>
      </c>
      <c r="T24" s="12">
        <f>Q24/'סכום נכסי הקרן'!$C$42</f>
        <v>5.1326174050418997E-4</v>
      </c>
    </row>
    <row r="25" spans="2:20">
      <c r="B25" s="10" t="s">
        <v>230</v>
      </c>
      <c r="C25" s="43">
        <v>1940576</v>
      </c>
      <c r="D25" s="10" t="s">
        <v>138</v>
      </c>
      <c r="E25" s="10"/>
      <c r="F25" s="10">
        <v>194</v>
      </c>
      <c r="G25" s="10" t="s">
        <v>220</v>
      </c>
      <c r="H25" s="10" t="s">
        <v>221</v>
      </c>
      <c r="I25" s="10" t="s">
        <v>95</v>
      </c>
      <c r="J25" s="10"/>
      <c r="K25" s="43">
        <v>3.19</v>
      </c>
      <c r="L25" s="10" t="s">
        <v>96</v>
      </c>
      <c r="M25" s="44">
        <v>7.0000000000000001E-3</v>
      </c>
      <c r="N25" s="12">
        <v>5.8999999999999999E-3</v>
      </c>
      <c r="O25" s="11">
        <v>12236000</v>
      </c>
      <c r="P25" s="11">
        <v>101.29</v>
      </c>
      <c r="Q25" s="11">
        <v>12393.84</v>
      </c>
      <c r="R25" s="12">
        <v>2.5000000000000001E-3</v>
      </c>
      <c r="S25" s="12">
        <v>1.61E-2</v>
      </c>
      <c r="T25" s="12">
        <f>Q25/'סכום נכסי הקרן'!$C$42</f>
        <v>3.4082262530099653E-3</v>
      </c>
    </row>
    <row r="26" spans="2:20">
      <c r="B26" s="10" t="s">
        <v>231</v>
      </c>
      <c r="C26" s="43">
        <v>1940568</v>
      </c>
      <c r="D26" s="10" t="s">
        <v>138</v>
      </c>
      <c r="E26" s="10"/>
      <c r="F26" s="10">
        <v>194</v>
      </c>
      <c r="G26" s="10" t="s">
        <v>220</v>
      </c>
      <c r="H26" s="10" t="s">
        <v>221</v>
      </c>
      <c r="I26" s="10" t="s">
        <v>95</v>
      </c>
      <c r="J26" s="10"/>
      <c r="K26" s="43">
        <v>2.67</v>
      </c>
      <c r="L26" s="10" t="s">
        <v>96</v>
      </c>
      <c r="M26" s="44">
        <v>1.6E-2</v>
      </c>
      <c r="N26" s="12">
        <v>9.9000000000000008E-3</v>
      </c>
      <c r="O26" s="11">
        <v>64082</v>
      </c>
      <c r="P26" s="11">
        <v>102.07</v>
      </c>
      <c r="Q26" s="11">
        <v>65.41</v>
      </c>
      <c r="R26" s="12">
        <v>0</v>
      </c>
      <c r="S26" s="12">
        <v>1E-4</v>
      </c>
      <c r="T26" s="12">
        <f>Q26/'סכום נכסי הקרן'!$C$42</f>
        <v>1.7987329125547998E-5</v>
      </c>
    </row>
    <row r="27" spans="2:20">
      <c r="B27" s="10" t="s">
        <v>232</v>
      </c>
      <c r="C27" s="43">
        <v>1093681</v>
      </c>
      <c r="D27" s="10" t="s">
        <v>138</v>
      </c>
      <c r="E27" s="10"/>
      <c r="F27" s="10">
        <v>1153</v>
      </c>
      <c r="G27" s="10" t="s">
        <v>220</v>
      </c>
      <c r="H27" s="10" t="s">
        <v>94</v>
      </c>
      <c r="I27" s="10" t="s">
        <v>95</v>
      </c>
      <c r="J27" s="10"/>
      <c r="K27" s="43">
        <v>1.07</v>
      </c>
      <c r="L27" s="10" t="s">
        <v>96</v>
      </c>
      <c r="M27" s="44">
        <v>4.2000000000000003E-2</v>
      </c>
      <c r="N27" s="12">
        <v>6.4999999999999997E-3</v>
      </c>
      <c r="O27" s="11">
        <v>221372.57</v>
      </c>
      <c r="P27" s="11">
        <v>128.38</v>
      </c>
      <c r="Q27" s="11">
        <v>284.2</v>
      </c>
      <c r="R27" s="12">
        <v>2.0999999999999999E-3</v>
      </c>
      <c r="S27" s="12">
        <v>4.0000000000000002E-4</v>
      </c>
      <c r="T27" s="12">
        <f>Q27/'סכום נכסי הקרן'!$C$42</f>
        <v>7.8153171342007973E-5</v>
      </c>
    </row>
    <row r="28" spans="2:20">
      <c r="B28" s="10" t="s">
        <v>233</v>
      </c>
      <c r="C28" s="43">
        <v>6040232</v>
      </c>
      <c r="D28" s="10" t="s">
        <v>138</v>
      </c>
      <c r="E28" s="10"/>
      <c r="F28" s="10">
        <v>604</v>
      </c>
      <c r="G28" s="10" t="s">
        <v>220</v>
      </c>
      <c r="H28" s="10" t="s">
        <v>94</v>
      </c>
      <c r="I28" s="10" t="s">
        <v>95</v>
      </c>
      <c r="J28" s="10"/>
      <c r="K28" s="43">
        <v>0.85</v>
      </c>
      <c r="L28" s="10" t="s">
        <v>96</v>
      </c>
      <c r="M28" s="44">
        <v>4.3999999999999997E-2</v>
      </c>
      <c r="N28" s="12">
        <v>4.1999999999999997E-3</v>
      </c>
      <c r="O28" s="11">
        <v>1106667.21</v>
      </c>
      <c r="P28" s="11">
        <v>121.41</v>
      </c>
      <c r="Q28" s="11">
        <v>1343.6</v>
      </c>
      <c r="R28" s="12">
        <v>1.6999999999999999E-3</v>
      </c>
      <c r="S28" s="12">
        <v>1.6999999999999999E-3</v>
      </c>
      <c r="T28" s="12">
        <f>Q28/'סכום נכסי הקרן'!$C$42</f>
        <v>3.6948135473301164E-4</v>
      </c>
    </row>
    <row r="29" spans="2:20">
      <c r="B29" s="10" t="s">
        <v>234</v>
      </c>
      <c r="C29" s="43">
        <v>6040273</v>
      </c>
      <c r="D29" s="10" t="s">
        <v>138</v>
      </c>
      <c r="E29" s="10"/>
      <c r="F29" s="10">
        <v>604</v>
      </c>
      <c r="G29" s="10" t="s">
        <v>220</v>
      </c>
      <c r="H29" s="10" t="s">
        <v>94</v>
      </c>
      <c r="I29" s="10" t="s">
        <v>95</v>
      </c>
      <c r="J29" s="10"/>
      <c r="K29" s="43">
        <v>0.7</v>
      </c>
      <c r="L29" s="10" t="s">
        <v>96</v>
      </c>
      <c r="M29" s="44">
        <v>2.5999999999999999E-2</v>
      </c>
      <c r="N29" s="12">
        <v>6.1999999999999998E-3</v>
      </c>
      <c r="O29" s="11">
        <v>2365000</v>
      </c>
      <c r="P29" s="11">
        <v>108.11</v>
      </c>
      <c r="Q29" s="11">
        <v>2556.8000000000002</v>
      </c>
      <c r="R29" s="12">
        <v>6.9999999999999999E-4</v>
      </c>
      <c r="S29" s="12">
        <v>3.3E-3</v>
      </c>
      <c r="T29" s="12">
        <f>Q29/'סכום נכסי הקרן'!$C$42</f>
        <v>7.0310354851247714E-4</v>
      </c>
    </row>
    <row r="30" spans="2:20">
      <c r="B30" s="10" t="s">
        <v>235</v>
      </c>
      <c r="C30" s="43">
        <v>6040299</v>
      </c>
      <c r="D30" s="10" t="s">
        <v>138</v>
      </c>
      <c r="E30" s="10"/>
      <c r="F30" s="10">
        <v>604</v>
      </c>
      <c r="G30" s="10" t="s">
        <v>220</v>
      </c>
      <c r="H30" s="10" t="s">
        <v>94</v>
      </c>
      <c r="I30" s="10" t="s">
        <v>95</v>
      </c>
      <c r="J30" s="10"/>
      <c r="K30" s="43">
        <v>3.68</v>
      </c>
      <c r="L30" s="10" t="s">
        <v>96</v>
      </c>
      <c r="M30" s="44">
        <v>3.4000000000000002E-2</v>
      </c>
      <c r="N30" s="12">
        <v>7.9000000000000008E-3</v>
      </c>
      <c r="O30" s="11">
        <v>10472880</v>
      </c>
      <c r="P30" s="11">
        <v>112.62</v>
      </c>
      <c r="Q30" s="11">
        <v>11794.56</v>
      </c>
      <c r="R30" s="12">
        <v>5.5999999999999999E-3</v>
      </c>
      <c r="S30" s="12">
        <v>1.5299999999999999E-2</v>
      </c>
      <c r="T30" s="12">
        <f>Q30/'סכום נכסי הקרן'!$C$42</f>
        <v>3.2434281090203856E-3</v>
      </c>
    </row>
    <row r="31" spans="2:20">
      <c r="B31" s="10" t="s">
        <v>236</v>
      </c>
      <c r="C31" s="43">
        <v>2310068</v>
      </c>
      <c r="D31" s="10" t="s">
        <v>138</v>
      </c>
      <c r="E31" s="10"/>
      <c r="F31" s="10">
        <v>231</v>
      </c>
      <c r="G31" s="10" t="s">
        <v>220</v>
      </c>
      <c r="H31" s="10" t="s">
        <v>94</v>
      </c>
      <c r="I31" s="10" t="s">
        <v>95</v>
      </c>
      <c r="J31" s="10"/>
      <c r="K31" s="43">
        <v>0.41</v>
      </c>
      <c r="L31" s="10" t="s">
        <v>96</v>
      </c>
      <c r="M31" s="44">
        <v>3.9E-2</v>
      </c>
      <c r="N31" s="12">
        <v>1.55E-2</v>
      </c>
      <c r="O31" s="11">
        <v>3449381</v>
      </c>
      <c r="P31" s="11">
        <v>122.92</v>
      </c>
      <c r="Q31" s="11">
        <v>4239.9799999999996</v>
      </c>
      <c r="R31" s="12">
        <v>2.3999999999999998E-3</v>
      </c>
      <c r="S31" s="12">
        <v>5.4999999999999997E-3</v>
      </c>
      <c r="T31" s="12">
        <f>Q31/'סכום נכסי הקרן'!$C$42</f>
        <v>1.1659672182501299E-3</v>
      </c>
    </row>
    <row r="32" spans="2:20">
      <c r="B32" s="10" t="s">
        <v>237</v>
      </c>
      <c r="C32" s="43">
        <v>2310076</v>
      </c>
      <c r="D32" s="10" t="s">
        <v>138</v>
      </c>
      <c r="E32" s="10"/>
      <c r="F32" s="10">
        <v>231</v>
      </c>
      <c r="G32" s="10" t="s">
        <v>220</v>
      </c>
      <c r="H32" s="10" t="s">
        <v>94</v>
      </c>
      <c r="I32" s="10" t="s">
        <v>95</v>
      </c>
      <c r="J32" s="10"/>
      <c r="K32" s="43">
        <v>2.64</v>
      </c>
      <c r="L32" s="10" t="s">
        <v>96</v>
      </c>
      <c r="M32" s="44">
        <v>0.03</v>
      </c>
      <c r="N32" s="12">
        <v>7.4000000000000003E-3</v>
      </c>
      <c r="O32" s="11">
        <v>5000</v>
      </c>
      <c r="P32" s="11">
        <v>112.61</v>
      </c>
      <c r="Q32" s="11">
        <v>5.63</v>
      </c>
      <c r="R32" s="12">
        <v>0</v>
      </c>
      <c r="S32" s="12">
        <v>0</v>
      </c>
      <c r="T32" s="12">
        <f>Q32/'סכום נכסי הקרן'!$C$42</f>
        <v>1.5482137742980468E-6</v>
      </c>
    </row>
    <row r="33" spans="2:20">
      <c r="B33" s="10" t="s">
        <v>238</v>
      </c>
      <c r="C33" s="43">
        <v>1138650</v>
      </c>
      <c r="D33" s="10" t="s">
        <v>138</v>
      </c>
      <c r="E33" s="10"/>
      <c r="F33" s="10">
        <v>1420</v>
      </c>
      <c r="G33" s="10" t="s">
        <v>239</v>
      </c>
      <c r="H33" s="10" t="s">
        <v>94</v>
      </c>
      <c r="I33" s="10" t="s">
        <v>240</v>
      </c>
      <c r="J33" s="10"/>
      <c r="K33" s="43">
        <v>6.98</v>
      </c>
      <c r="L33" s="10" t="s">
        <v>96</v>
      </c>
      <c r="M33" s="44">
        <v>1.34E-2</v>
      </c>
      <c r="N33" s="12">
        <v>1.84E-2</v>
      </c>
      <c r="O33" s="11">
        <v>6591000</v>
      </c>
      <c r="P33" s="11">
        <v>97.37</v>
      </c>
      <c r="Q33" s="11">
        <v>6417.66</v>
      </c>
      <c r="R33" s="12">
        <v>3.0000000000000001E-3</v>
      </c>
      <c r="S33" s="12">
        <v>8.3000000000000001E-3</v>
      </c>
      <c r="T33" s="12">
        <f>Q33/'סכום נכסי הקרן'!$C$42</f>
        <v>1.7648152061743522E-3</v>
      </c>
    </row>
    <row r="34" spans="2:20">
      <c r="B34" s="10" t="s">
        <v>241</v>
      </c>
      <c r="C34" s="43">
        <v>1940402</v>
      </c>
      <c r="D34" s="10" t="s">
        <v>138</v>
      </c>
      <c r="E34" s="10"/>
      <c r="F34" s="10">
        <v>194</v>
      </c>
      <c r="G34" s="10" t="s">
        <v>220</v>
      </c>
      <c r="H34" s="10" t="s">
        <v>94</v>
      </c>
      <c r="I34" s="10" t="s">
        <v>95</v>
      </c>
      <c r="J34" s="10"/>
      <c r="K34" s="43">
        <v>2.15</v>
      </c>
      <c r="L34" s="10" t="s">
        <v>96</v>
      </c>
      <c r="M34" s="44">
        <v>4.1000000000000002E-2</v>
      </c>
      <c r="N34" s="12">
        <v>8.2000000000000007E-3</v>
      </c>
      <c r="O34" s="11">
        <v>9801346</v>
      </c>
      <c r="P34" s="11">
        <v>132.30000000000001</v>
      </c>
      <c r="Q34" s="11">
        <v>12967.18</v>
      </c>
      <c r="R34" s="12">
        <v>2.5000000000000001E-3</v>
      </c>
      <c r="S34" s="12">
        <v>1.6799999999999999E-2</v>
      </c>
      <c r="T34" s="12">
        <f>Q34/'סכום נכסי הקרן'!$C$42</f>
        <v>3.5658910639080189E-3</v>
      </c>
    </row>
    <row r="35" spans="2:20">
      <c r="B35" s="10" t="s">
        <v>242</v>
      </c>
      <c r="C35" s="43">
        <v>1940386</v>
      </c>
      <c r="D35" s="10" t="s">
        <v>138</v>
      </c>
      <c r="E35" s="10"/>
      <c r="F35" s="10">
        <v>194</v>
      </c>
      <c r="G35" s="10" t="s">
        <v>220</v>
      </c>
      <c r="H35" s="10" t="s">
        <v>94</v>
      </c>
      <c r="I35" s="10" t="s">
        <v>95</v>
      </c>
      <c r="J35" s="10"/>
      <c r="K35" s="43">
        <v>0.98</v>
      </c>
      <c r="L35" s="10" t="s">
        <v>96</v>
      </c>
      <c r="M35" s="44">
        <v>4.7E-2</v>
      </c>
      <c r="N35" s="12">
        <v>8.0999999999999996E-3</v>
      </c>
      <c r="O35" s="11">
        <v>471685.14</v>
      </c>
      <c r="P35" s="11">
        <v>123.65</v>
      </c>
      <c r="Q35" s="11">
        <v>583.24</v>
      </c>
      <c r="R35" s="12">
        <v>3.3E-3</v>
      </c>
      <c r="S35" s="12">
        <v>8.0000000000000004E-4</v>
      </c>
      <c r="T35" s="12">
        <f>Q35/'סכום נכסי הקרן'!$C$42</f>
        <v>1.6038724719744099E-4</v>
      </c>
    </row>
    <row r="36" spans="2:20">
      <c r="B36" s="10" t="s">
        <v>243</v>
      </c>
      <c r="C36" s="43">
        <v>1940501</v>
      </c>
      <c r="D36" s="10" t="s">
        <v>138</v>
      </c>
      <c r="E36" s="10"/>
      <c r="F36" s="10">
        <v>194</v>
      </c>
      <c r="G36" s="10" t="s">
        <v>220</v>
      </c>
      <c r="H36" s="10" t="s">
        <v>94</v>
      </c>
      <c r="I36" s="10" t="s">
        <v>95</v>
      </c>
      <c r="J36" s="10"/>
      <c r="K36" s="43">
        <v>4.1399999999999997</v>
      </c>
      <c r="L36" s="10" t="s">
        <v>96</v>
      </c>
      <c r="M36" s="44">
        <v>0.04</v>
      </c>
      <c r="N36" s="12">
        <v>8.3999999999999995E-3</v>
      </c>
      <c r="O36" s="11">
        <v>8576200</v>
      </c>
      <c r="P36" s="11">
        <v>119.39</v>
      </c>
      <c r="Q36" s="11">
        <v>10239.129999999999</v>
      </c>
      <c r="R36" s="12">
        <v>3.0000000000000001E-3</v>
      </c>
      <c r="S36" s="12">
        <v>1.3299999999999999E-2</v>
      </c>
      <c r="T36" s="12">
        <f>Q36/'סכום נכסי הקרן'!$C$42</f>
        <v>2.8156948672874529E-3</v>
      </c>
    </row>
    <row r="37" spans="2:20">
      <c r="B37" s="10" t="s">
        <v>244</v>
      </c>
      <c r="C37" s="43">
        <v>1122670</v>
      </c>
      <c r="D37" s="10" t="s">
        <v>138</v>
      </c>
      <c r="E37" s="10"/>
      <c r="F37" s="10">
        <v>1300</v>
      </c>
      <c r="G37" s="10" t="s">
        <v>239</v>
      </c>
      <c r="H37" s="10" t="s">
        <v>99</v>
      </c>
      <c r="I37" s="10" t="s">
        <v>95</v>
      </c>
      <c r="J37" s="10"/>
      <c r="K37" s="43">
        <v>1.02</v>
      </c>
      <c r="L37" s="10" t="s">
        <v>96</v>
      </c>
      <c r="M37" s="44">
        <v>3.2000000000000001E-2</v>
      </c>
      <c r="N37" s="12">
        <v>1.06E-2</v>
      </c>
      <c r="O37" s="11">
        <v>246258.53</v>
      </c>
      <c r="P37" s="11">
        <v>107.43</v>
      </c>
      <c r="Q37" s="11">
        <v>264.56</v>
      </c>
      <c r="R37" s="12">
        <v>5.9999999999999995E-4</v>
      </c>
      <c r="S37" s="12">
        <v>2.9999999999999997E-4</v>
      </c>
      <c r="T37" s="12">
        <f>Q37/'סכום נכסי הקרן'!$C$42</f>
        <v>7.2752297713728464E-5</v>
      </c>
    </row>
    <row r="38" spans="2:20">
      <c r="B38" s="10" t="s">
        <v>245</v>
      </c>
      <c r="C38" s="43">
        <v>1133487</v>
      </c>
      <c r="D38" s="10" t="s">
        <v>138</v>
      </c>
      <c r="E38" s="10"/>
      <c r="F38" s="10">
        <v>1300</v>
      </c>
      <c r="G38" s="10" t="s">
        <v>239</v>
      </c>
      <c r="H38" s="10" t="s">
        <v>99</v>
      </c>
      <c r="I38" s="10" t="s">
        <v>95</v>
      </c>
      <c r="J38" s="10"/>
      <c r="K38" s="43">
        <v>6.75</v>
      </c>
      <c r="L38" s="10" t="s">
        <v>96</v>
      </c>
      <c r="M38" s="44">
        <v>2.3400000000000001E-2</v>
      </c>
      <c r="N38" s="12">
        <v>2.0299999999999999E-2</v>
      </c>
      <c r="O38" s="11">
        <v>986000</v>
      </c>
      <c r="P38" s="11">
        <v>101.81</v>
      </c>
      <c r="Q38" s="11">
        <v>1003.85</v>
      </c>
      <c r="R38" s="12">
        <v>6.9999999999999999E-4</v>
      </c>
      <c r="S38" s="12">
        <v>1.2999999999999999E-3</v>
      </c>
      <c r="T38" s="12">
        <f>Q38/'סכום נכסי הקרן'!$C$42</f>
        <v>2.7605229082221922E-4</v>
      </c>
    </row>
    <row r="39" spans="2:20">
      <c r="B39" s="10" t="s">
        <v>246</v>
      </c>
      <c r="C39" s="43">
        <v>2300143</v>
      </c>
      <c r="D39" s="10" t="s">
        <v>138</v>
      </c>
      <c r="E39" s="10"/>
      <c r="F39" s="10">
        <v>230</v>
      </c>
      <c r="G39" s="10" t="s">
        <v>247</v>
      </c>
      <c r="H39" s="10" t="s">
        <v>99</v>
      </c>
      <c r="I39" s="10" t="s">
        <v>95</v>
      </c>
      <c r="J39" s="10"/>
      <c r="K39" s="43">
        <v>3.71</v>
      </c>
      <c r="L39" s="10" t="s">
        <v>96</v>
      </c>
      <c r="M39" s="44">
        <v>3.6999999999999998E-2</v>
      </c>
      <c r="N39" s="12">
        <v>1.0800000000000001E-2</v>
      </c>
      <c r="O39" s="11">
        <v>2516000</v>
      </c>
      <c r="P39" s="11">
        <v>112.98</v>
      </c>
      <c r="Q39" s="11">
        <v>2842.58</v>
      </c>
      <c r="R39" s="12">
        <v>8.9999999999999998E-4</v>
      </c>
      <c r="S39" s="12">
        <v>3.7000000000000002E-3</v>
      </c>
      <c r="T39" s="12">
        <f>Q39/'סכום נכסי הקרן'!$C$42</f>
        <v>7.8169120968812466E-4</v>
      </c>
    </row>
    <row r="40" spans="2:20">
      <c r="B40" s="10" t="s">
        <v>248</v>
      </c>
      <c r="C40" s="43">
        <v>2300069</v>
      </c>
      <c r="D40" s="10" t="s">
        <v>138</v>
      </c>
      <c r="E40" s="10"/>
      <c r="F40" s="10">
        <v>230</v>
      </c>
      <c r="G40" s="10" t="s">
        <v>247</v>
      </c>
      <c r="H40" s="10" t="s">
        <v>99</v>
      </c>
      <c r="I40" s="10" t="s">
        <v>95</v>
      </c>
      <c r="J40" s="10"/>
      <c r="K40" s="7"/>
      <c r="L40" s="10" t="s">
        <v>96</v>
      </c>
      <c r="M40" s="44">
        <v>5.2999999999999999E-2</v>
      </c>
      <c r="N40" s="7"/>
      <c r="O40" s="11">
        <v>0.02</v>
      </c>
      <c r="P40" s="11">
        <v>128.28</v>
      </c>
      <c r="Q40" s="11">
        <v>0</v>
      </c>
      <c r="R40" s="12">
        <v>0</v>
      </c>
      <c r="S40" s="12">
        <v>0</v>
      </c>
      <c r="T40" s="12">
        <f>Q40/'סכום נכסי הקרן'!$C$42</f>
        <v>0</v>
      </c>
    </row>
    <row r="41" spans="2:20">
      <c r="B41" s="10" t="s">
        <v>249</v>
      </c>
      <c r="C41" s="43">
        <v>1103126</v>
      </c>
      <c r="D41" s="10" t="s">
        <v>138</v>
      </c>
      <c r="E41" s="10"/>
      <c r="F41" s="10">
        <v>1153</v>
      </c>
      <c r="G41" s="10" t="s">
        <v>220</v>
      </c>
      <c r="H41" s="10" t="s">
        <v>99</v>
      </c>
      <c r="I41" s="10" t="s">
        <v>95</v>
      </c>
      <c r="J41" s="10"/>
      <c r="K41" s="43">
        <v>2.14</v>
      </c>
      <c r="L41" s="10" t="s">
        <v>96</v>
      </c>
      <c r="M41" s="44">
        <v>4.2000000000000003E-2</v>
      </c>
      <c r="N41" s="12">
        <v>1.03E-2</v>
      </c>
      <c r="O41" s="11">
        <v>43850</v>
      </c>
      <c r="P41" s="11">
        <v>129.6</v>
      </c>
      <c r="Q41" s="11">
        <v>56.83</v>
      </c>
      <c r="R41" s="12">
        <v>2.9999999999999997E-4</v>
      </c>
      <c r="S41" s="12">
        <v>1E-4</v>
      </c>
      <c r="T41" s="12">
        <f>Q41/'סכום נכסי הקרן'!$C$42</f>
        <v>1.5627884332745648E-5</v>
      </c>
    </row>
    <row r="42" spans="2:20">
      <c r="B42" s="10" t="s">
        <v>250</v>
      </c>
      <c r="C42" s="43">
        <v>1105576</v>
      </c>
      <c r="D42" s="10" t="s">
        <v>138</v>
      </c>
      <c r="E42" s="10"/>
      <c r="F42" s="10">
        <v>1153</v>
      </c>
      <c r="G42" s="10" t="s">
        <v>220</v>
      </c>
      <c r="H42" s="10" t="s">
        <v>99</v>
      </c>
      <c r="I42" s="10" t="s">
        <v>95</v>
      </c>
      <c r="J42" s="10"/>
      <c r="K42" s="43">
        <v>0.45</v>
      </c>
      <c r="L42" s="10" t="s">
        <v>96</v>
      </c>
      <c r="M42" s="44">
        <v>3.85E-2</v>
      </c>
      <c r="N42" s="12">
        <v>1.44E-2</v>
      </c>
      <c r="O42" s="11">
        <v>3682217</v>
      </c>
      <c r="P42" s="11">
        <v>120.57</v>
      </c>
      <c r="Q42" s="11">
        <v>4439.6499999999996</v>
      </c>
      <c r="R42" s="12">
        <v>0.01</v>
      </c>
      <c r="S42" s="12">
        <v>5.7999999999999996E-3</v>
      </c>
      <c r="T42" s="12">
        <f>Q42/'סכום נכסי הקרן'!$C$42</f>
        <v>1.2208751834924198E-3</v>
      </c>
    </row>
    <row r="43" spans="2:20">
      <c r="B43" s="10" t="s">
        <v>251</v>
      </c>
      <c r="C43" s="43">
        <v>1091164</v>
      </c>
      <c r="D43" s="10" t="s">
        <v>138</v>
      </c>
      <c r="E43" s="10"/>
      <c r="F43" s="10">
        <v>1153</v>
      </c>
      <c r="G43" s="10" t="s">
        <v>220</v>
      </c>
      <c r="H43" s="10" t="s">
        <v>99</v>
      </c>
      <c r="I43" s="10" t="s">
        <v>95</v>
      </c>
      <c r="J43" s="10"/>
      <c r="K43" s="43">
        <v>1.1599999999999999</v>
      </c>
      <c r="L43" s="10" t="s">
        <v>96</v>
      </c>
      <c r="M43" s="44">
        <v>5.2499999999999998E-2</v>
      </c>
      <c r="N43" s="12">
        <v>0.01</v>
      </c>
      <c r="O43" s="11">
        <v>174559.46</v>
      </c>
      <c r="P43" s="11">
        <v>130.21</v>
      </c>
      <c r="Q43" s="11">
        <v>227.29</v>
      </c>
      <c r="R43" s="12">
        <v>2.3E-3</v>
      </c>
      <c r="S43" s="12">
        <v>2.9999999999999997E-4</v>
      </c>
      <c r="T43" s="12">
        <f>Q43/'סכום נכסי הקרן'!$C$42</f>
        <v>6.250328752401475E-5</v>
      </c>
    </row>
    <row r="44" spans="2:20">
      <c r="B44" s="10" t="s">
        <v>252</v>
      </c>
      <c r="C44" s="43">
        <v>1121953</v>
      </c>
      <c r="D44" s="10" t="s">
        <v>138</v>
      </c>
      <c r="E44" s="10"/>
      <c r="F44" s="10">
        <v>1153</v>
      </c>
      <c r="G44" s="10" t="s">
        <v>220</v>
      </c>
      <c r="H44" s="10" t="s">
        <v>99</v>
      </c>
      <c r="I44" s="10" t="s">
        <v>95</v>
      </c>
      <c r="J44" s="10"/>
      <c r="K44" s="43">
        <v>2.0099999999999998</v>
      </c>
      <c r="L44" s="10" t="s">
        <v>96</v>
      </c>
      <c r="M44" s="44">
        <v>3.1E-2</v>
      </c>
      <c r="N44" s="12">
        <v>7.7000000000000002E-3</v>
      </c>
      <c r="O44" s="11">
        <v>300000</v>
      </c>
      <c r="P44" s="11">
        <v>112.61</v>
      </c>
      <c r="Q44" s="11">
        <v>337.83</v>
      </c>
      <c r="R44" s="12">
        <v>2.9999999999999997E-4</v>
      </c>
      <c r="S44" s="12">
        <v>4.0000000000000002E-4</v>
      </c>
      <c r="T44" s="12">
        <f>Q44/'סכום נכסי הקרן'!$C$42</f>
        <v>9.2901076264850646E-5</v>
      </c>
    </row>
    <row r="45" spans="2:20">
      <c r="B45" s="10" t="s">
        <v>253</v>
      </c>
      <c r="C45" s="43">
        <v>6910129</v>
      </c>
      <c r="D45" s="10" t="s">
        <v>138</v>
      </c>
      <c r="E45" s="10"/>
      <c r="F45" s="10">
        <v>691</v>
      </c>
      <c r="G45" s="10" t="s">
        <v>220</v>
      </c>
      <c r="H45" s="10" t="s">
        <v>99</v>
      </c>
      <c r="I45" s="10" t="s">
        <v>95</v>
      </c>
      <c r="J45" s="10"/>
      <c r="K45" s="43">
        <v>3.72</v>
      </c>
      <c r="L45" s="10" t="s">
        <v>96</v>
      </c>
      <c r="M45" s="44">
        <v>3.85E-2</v>
      </c>
      <c r="N45" s="12">
        <v>8.3999999999999995E-3</v>
      </c>
      <c r="O45" s="11">
        <v>709000</v>
      </c>
      <c r="P45" s="11">
        <v>119.25</v>
      </c>
      <c r="Q45" s="11">
        <v>845.48</v>
      </c>
      <c r="R45" s="12">
        <v>1.6999999999999999E-3</v>
      </c>
      <c r="S45" s="12">
        <v>1.1000000000000001E-3</v>
      </c>
      <c r="T45" s="12">
        <f>Q45/'סכום נכסי הקרן'!$C$42</f>
        <v>2.3250155983898981E-4</v>
      </c>
    </row>
    <row r="46" spans="2:20">
      <c r="B46" s="10" t="s">
        <v>254</v>
      </c>
      <c r="C46" s="43">
        <v>7480015</v>
      </c>
      <c r="D46" s="10" t="s">
        <v>138</v>
      </c>
      <c r="E46" s="10"/>
      <c r="F46" s="10">
        <v>748</v>
      </c>
      <c r="G46" s="10" t="s">
        <v>220</v>
      </c>
      <c r="H46" s="10" t="s">
        <v>99</v>
      </c>
      <c r="I46" s="10" t="s">
        <v>95</v>
      </c>
      <c r="J46" s="10"/>
      <c r="K46" s="43">
        <v>0.74</v>
      </c>
      <c r="L46" s="10" t="s">
        <v>96</v>
      </c>
      <c r="M46" s="44">
        <v>5.5E-2</v>
      </c>
      <c r="N46" s="12">
        <v>1.18E-2</v>
      </c>
      <c r="O46" s="11">
        <v>1956619.13</v>
      </c>
      <c r="P46" s="11">
        <v>132.62</v>
      </c>
      <c r="Q46" s="11">
        <v>2594.87</v>
      </c>
      <c r="R46" s="12">
        <v>1.2200000000000001E-2</v>
      </c>
      <c r="S46" s="12">
        <v>3.3999999999999998E-3</v>
      </c>
      <c r="T46" s="12">
        <f>Q46/'סכום נכסי הקרן'!$C$42</f>
        <v>7.1357255355466651E-4</v>
      </c>
    </row>
    <row r="47" spans="2:20">
      <c r="B47" s="10" t="s">
        <v>255</v>
      </c>
      <c r="C47" s="43">
        <v>7480023</v>
      </c>
      <c r="D47" s="10" t="s">
        <v>138</v>
      </c>
      <c r="E47" s="10"/>
      <c r="F47" s="10">
        <v>748</v>
      </c>
      <c r="G47" s="10" t="s">
        <v>220</v>
      </c>
      <c r="H47" s="10" t="s">
        <v>99</v>
      </c>
      <c r="I47" s="10" t="s">
        <v>95</v>
      </c>
      <c r="J47" s="10"/>
      <c r="K47" s="43">
        <v>1.88</v>
      </c>
      <c r="L47" s="10" t="s">
        <v>96</v>
      </c>
      <c r="M47" s="44">
        <v>5.2499999999999998E-2</v>
      </c>
      <c r="N47" s="12">
        <v>8.8000000000000005E-3</v>
      </c>
      <c r="O47" s="11">
        <v>1851190.8</v>
      </c>
      <c r="P47" s="11">
        <v>132.72</v>
      </c>
      <c r="Q47" s="11">
        <v>2456.9</v>
      </c>
      <c r="R47" s="12">
        <v>5.1000000000000004E-3</v>
      </c>
      <c r="S47" s="12">
        <v>3.2000000000000002E-3</v>
      </c>
      <c r="T47" s="12">
        <f>Q47/'סכום נכסי הקרן'!$C$42</f>
        <v>6.7563169130956861E-4</v>
      </c>
    </row>
    <row r="48" spans="2:20">
      <c r="B48" s="10" t="s">
        <v>256</v>
      </c>
      <c r="C48" s="43">
        <v>7480049</v>
      </c>
      <c r="D48" s="10" t="s">
        <v>138</v>
      </c>
      <c r="E48" s="10"/>
      <c r="F48" s="10">
        <v>748</v>
      </c>
      <c r="G48" s="10" t="s">
        <v>220</v>
      </c>
      <c r="H48" s="10" t="s">
        <v>99</v>
      </c>
      <c r="I48" s="10" t="s">
        <v>95</v>
      </c>
      <c r="J48" s="10"/>
      <c r="K48" s="43">
        <v>3.19</v>
      </c>
      <c r="L48" s="10" t="s">
        <v>96</v>
      </c>
      <c r="M48" s="44">
        <v>4.7500000000000001E-2</v>
      </c>
      <c r="N48" s="12">
        <v>8.0000000000000002E-3</v>
      </c>
      <c r="O48" s="11">
        <v>2050467.12</v>
      </c>
      <c r="P48" s="11">
        <v>132.66999999999999</v>
      </c>
      <c r="Q48" s="11">
        <v>2720.35</v>
      </c>
      <c r="R48" s="12">
        <v>4.7000000000000002E-3</v>
      </c>
      <c r="S48" s="12">
        <v>3.5000000000000001E-3</v>
      </c>
      <c r="T48" s="12">
        <f>Q48/'סכום נכסי הקרן'!$C$42</f>
        <v>7.4807874616548693E-4</v>
      </c>
    </row>
    <row r="49" spans="2:20">
      <c r="B49" s="10" t="s">
        <v>257</v>
      </c>
      <c r="C49" s="43">
        <v>7480072</v>
      </c>
      <c r="D49" s="10" t="s">
        <v>138</v>
      </c>
      <c r="E49" s="10"/>
      <c r="F49" s="10">
        <v>748</v>
      </c>
      <c r="G49" s="10" t="s">
        <v>220</v>
      </c>
      <c r="H49" s="10" t="s">
        <v>99</v>
      </c>
      <c r="I49" s="10" t="s">
        <v>95</v>
      </c>
      <c r="J49" s="10"/>
      <c r="K49" s="43">
        <v>0.19</v>
      </c>
      <c r="L49" s="10" t="s">
        <v>96</v>
      </c>
      <c r="M49" s="44">
        <v>4.2900000000000001E-2</v>
      </c>
      <c r="N49" s="12">
        <v>3.8399999999999997E-2</v>
      </c>
      <c r="O49" s="11">
        <v>1453002.69</v>
      </c>
      <c r="P49" s="11">
        <v>119.54</v>
      </c>
      <c r="Q49" s="11">
        <v>1736.92</v>
      </c>
      <c r="R49" s="12">
        <v>5.1000000000000004E-3</v>
      </c>
      <c r="S49" s="12">
        <v>2.3E-3</v>
      </c>
      <c r="T49" s="12">
        <f>Q49/'סכום נכסי הקרן'!$C$42</f>
        <v>4.7764182395271113E-4</v>
      </c>
    </row>
    <row r="50" spans="2:20">
      <c r="B50" s="10" t="s">
        <v>258</v>
      </c>
      <c r="C50" s="43">
        <v>1099738</v>
      </c>
      <c r="D50" s="10" t="s">
        <v>138</v>
      </c>
      <c r="E50" s="10"/>
      <c r="F50" s="10">
        <v>1367</v>
      </c>
      <c r="G50" s="10" t="s">
        <v>259</v>
      </c>
      <c r="H50" s="10" t="s">
        <v>99</v>
      </c>
      <c r="I50" s="10" t="s">
        <v>95</v>
      </c>
      <c r="J50" s="10"/>
      <c r="K50" s="43">
        <v>2.91</v>
      </c>
      <c r="L50" s="10" t="s">
        <v>96</v>
      </c>
      <c r="M50" s="44">
        <v>4.65E-2</v>
      </c>
      <c r="N50" s="12">
        <v>7.4999999999999997E-3</v>
      </c>
      <c r="O50" s="11">
        <v>108983.29</v>
      </c>
      <c r="P50" s="11">
        <v>132.84</v>
      </c>
      <c r="Q50" s="11">
        <v>144.77000000000001</v>
      </c>
      <c r="R50" s="12">
        <v>8.9999999999999998E-4</v>
      </c>
      <c r="S50" s="12">
        <v>2.0000000000000001E-4</v>
      </c>
      <c r="T50" s="12">
        <f>Q50/'סכום נכסי הקרן'!$C$42</f>
        <v>3.9810818491141786E-5</v>
      </c>
    </row>
    <row r="51" spans="2:20">
      <c r="B51" s="10" t="s">
        <v>260</v>
      </c>
      <c r="C51" s="43">
        <v>4160115</v>
      </c>
      <c r="D51" s="10" t="s">
        <v>138</v>
      </c>
      <c r="E51" s="10"/>
      <c r="F51" s="10">
        <v>416</v>
      </c>
      <c r="G51" s="10" t="s">
        <v>239</v>
      </c>
      <c r="H51" s="10" t="s">
        <v>99</v>
      </c>
      <c r="I51" s="10" t="s">
        <v>95</v>
      </c>
      <c r="J51" s="10"/>
      <c r="K51" s="43">
        <v>3.02</v>
      </c>
      <c r="L51" s="10" t="s">
        <v>96</v>
      </c>
      <c r="M51" s="44">
        <v>3.6400000000000002E-2</v>
      </c>
      <c r="N51" s="12">
        <v>1.11E-2</v>
      </c>
      <c r="O51" s="11">
        <v>2475000.12</v>
      </c>
      <c r="P51" s="11">
        <v>117.48</v>
      </c>
      <c r="Q51" s="11">
        <v>2907.63</v>
      </c>
      <c r="R51" s="12">
        <v>2.24E-2</v>
      </c>
      <c r="S51" s="12">
        <v>3.8E-3</v>
      </c>
      <c r="T51" s="12">
        <f>Q51/'סכום נכסי הקרן'!$C$42</f>
        <v>7.9957954113005865E-4</v>
      </c>
    </row>
    <row r="52" spans="2:20">
      <c r="B52" s="10" t="s">
        <v>261</v>
      </c>
      <c r="C52" s="43">
        <v>1097138</v>
      </c>
      <c r="D52" s="10" t="s">
        <v>138</v>
      </c>
      <c r="E52" s="10"/>
      <c r="F52" s="10">
        <v>1324</v>
      </c>
      <c r="G52" s="10" t="s">
        <v>259</v>
      </c>
      <c r="H52" s="10" t="s">
        <v>99</v>
      </c>
      <c r="I52" s="10" t="s">
        <v>95</v>
      </c>
      <c r="J52" s="10"/>
      <c r="K52" s="43">
        <v>2.3199999999999998</v>
      </c>
      <c r="L52" s="10" t="s">
        <v>96</v>
      </c>
      <c r="M52" s="44">
        <v>4.8899999999999999E-2</v>
      </c>
      <c r="N52" s="12">
        <v>9.7000000000000003E-3</v>
      </c>
      <c r="O52" s="11">
        <v>3418649.05</v>
      </c>
      <c r="P52" s="11">
        <v>131.79</v>
      </c>
      <c r="Q52" s="11">
        <v>4505.4399999999996</v>
      </c>
      <c r="R52" s="12">
        <v>1.8800000000000001E-2</v>
      </c>
      <c r="S52" s="12">
        <v>5.8999999999999999E-3</v>
      </c>
      <c r="T52" s="12">
        <f>Q52/'סכום נכסי הקרן'!$C$42</f>
        <v>1.2389670101728937E-3</v>
      </c>
    </row>
    <row r="53" spans="2:20">
      <c r="B53" s="10" t="s">
        <v>262</v>
      </c>
      <c r="C53" s="43">
        <v>1114347</v>
      </c>
      <c r="D53" s="10" t="s">
        <v>138</v>
      </c>
      <c r="E53" s="10"/>
      <c r="F53" s="10">
        <v>1324</v>
      </c>
      <c r="G53" s="10" t="s">
        <v>259</v>
      </c>
      <c r="H53" s="10" t="s">
        <v>99</v>
      </c>
      <c r="I53" s="10" t="s">
        <v>240</v>
      </c>
      <c r="J53" s="10"/>
      <c r="K53" s="43">
        <v>0.93</v>
      </c>
      <c r="L53" s="10" t="s">
        <v>96</v>
      </c>
      <c r="M53" s="44">
        <v>5.1999999999999998E-2</v>
      </c>
      <c r="N53" s="12">
        <v>1.26E-2</v>
      </c>
      <c r="O53" s="11">
        <v>8847.34</v>
      </c>
      <c r="P53" s="11">
        <v>117.51</v>
      </c>
      <c r="Q53" s="11">
        <v>10.4</v>
      </c>
      <c r="R53" s="12">
        <v>1E-4</v>
      </c>
      <c r="S53" s="12">
        <v>0</v>
      </c>
      <c r="T53" s="12">
        <f>Q53/'סכום נכסי הקרן'!$C$42</f>
        <v>2.8599330821846691E-6</v>
      </c>
    </row>
    <row r="54" spans="2:20">
      <c r="B54" s="10" t="s">
        <v>263</v>
      </c>
      <c r="C54" s="43">
        <v>6040141</v>
      </c>
      <c r="D54" s="10" t="s">
        <v>138</v>
      </c>
      <c r="E54" s="10"/>
      <c r="F54" s="10">
        <v>604</v>
      </c>
      <c r="G54" s="10" t="s">
        <v>220</v>
      </c>
      <c r="H54" s="10" t="s">
        <v>99</v>
      </c>
      <c r="I54" s="10" t="s">
        <v>95</v>
      </c>
      <c r="J54" s="10"/>
      <c r="K54" s="43">
        <v>3.8</v>
      </c>
      <c r="L54" s="10" t="s">
        <v>96</v>
      </c>
      <c r="M54" s="44">
        <v>0.04</v>
      </c>
      <c r="N54" s="12">
        <v>1.1599999999999999E-2</v>
      </c>
      <c r="O54" s="11">
        <v>2327723</v>
      </c>
      <c r="P54" s="11">
        <v>119.86</v>
      </c>
      <c r="Q54" s="11">
        <v>2790.01</v>
      </c>
      <c r="R54" s="12">
        <v>1.6999999999999999E-3</v>
      </c>
      <c r="S54" s="12">
        <v>3.5999999999999999E-3</v>
      </c>
      <c r="T54" s="12">
        <f>Q54/'סכום נכסי הקרן'!$C$42</f>
        <v>7.6723479794481243E-4</v>
      </c>
    </row>
    <row r="55" spans="2:20">
      <c r="B55" s="10" t="s">
        <v>264</v>
      </c>
      <c r="C55" s="43">
        <v>6040257</v>
      </c>
      <c r="D55" s="10" t="s">
        <v>138</v>
      </c>
      <c r="E55" s="10"/>
      <c r="F55" s="10">
        <v>604</v>
      </c>
      <c r="G55" s="10" t="s">
        <v>220</v>
      </c>
      <c r="H55" s="10" t="s">
        <v>99</v>
      </c>
      <c r="I55" s="10" t="s">
        <v>95</v>
      </c>
      <c r="J55" s="10"/>
      <c r="K55" s="43">
        <v>3.33</v>
      </c>
      <c r="L55" s="10" t="s">
        <v>96</v>
      </c>
      <c r="M55" s="44">
        <v>0.05</v>
      </c>
      <c r="N55" s="12">
        <v>1.0699999999999999E-2</v>
      </c>
      <c r="O55" s="11">
        <v>100005</v>
      </c>
      <c r="P55" s="11">
        <v>124.81</v>
      </c>
      <c r="Q55" s="11">
        <v>124.82</v>
      </c>
      <c r="R55" s="12">
        <v>1E-4</v>
      </c>
      <c r="S55" s="12">
        <v>2.0000000000000001E-4</v>
      </c>
      <c r="T55" s="12">
        <f>Q55/'סכום נכסי הקרן'!$C$42</f>
        <v>3.4324696857527918E-5</v>
      </c>
    </row>
    <row r="56" spans="2:20">
      <c r="B56" s="10" t="s">
        <v>265</v>
      </c>
      <c r="C56" s="43">
        <v>1120468</v>
      </c>
      <c r="D56" s="10" t="s">
        <v>138</v>
      </c>
      <c r="E56" s="10"/>
      <c r="F56" s="10">
        <v>1043</v>
      </c>
      <c r="G56" s="10" t="s">
        <v>239</v>
      </c>
      <c r="H56" s="10" t="s">
        <v>99</v>
      </c>
      <c r="I56" s="10" t="s">
        <v>95</v>
      </c>
      <c r="J56" s="10"/>
      <c r="K56" s="43">
        <v>2.98</v>
      </c>
      <c r="L56" s="10" t="s">
        <v>96</v>
      </c>
      <c r="M56" s="44">
        <v>0.03</v>
      </c>
      <c r="N56" s="12">
        <v>1.18E-2</v>
      </c>
      <c r="O56" s="11">
        <v>1754427.77</v>
      </c>
      <c r="P56" s="11">
        <v>112.89</v>
      </c>
      <c r="Q56" s="11">
        <v>1980.57</v>
      </c>
      <c r="R56" s="12">
        <v>1.6999999999999999E-3</v>
      </c>
      <c r="S56" s="12">
        <v>2.5999999999999999E-3</v>
      </c>
      <c r="T56" s="12">
        <f>Q56/'סכום נכסי הקרן'!$C$42</f>
        <v>5.4464400620985484E-4</v>
      </c>
    </row>
    <row r="57" spans="2:20">
      <c r="B57" s="10" t="s">
        <v>266</v>
      </c>
      <c r="C57" s="43">
        <v>1940444</v>
      </c>
      <c r="D57" s="10" t="s">
        <v>138</v>
      </c>
      <c r="E57" s="10"/>
      <c r="F57" s="10">
        <v>194</v>
      </c>
      <c r="G57" s="10" t="s">
        <v>220</v>
      </c>
      <c r="H57" s="10" t="s">
        <v>99</v>
      </c>
      <c r="I57" s="10" t="s">
        <v>95</v>
      </c>
      <c r="J57" s="10"/>
      <c r="K57" s="43">
        <v>3.2</v>
      </c>
      <c r="L57" s="10" t="s">
        <v>96</v>
      </c>
      <c r="M57" s="44">
        <v>6.5000000000000002E-2</v>
      </c>
      <c r="N57" s="12">
        <v>1.12E-2</v>
      </c>
      <c r="O57" s="11">
        <v>1029940.35</v>
      </c>
      <c r="P57" s="11">
        <v>130.1</v>
      </c>
      <c r="Q57" s="11">
        <v>1339.95</v>
      </c>
      <c r="R57" s="12">
        <v>6.9999999999999999E-4</v>
      </c>
      <c r="S57" s="12">
        <v>1.6999999999999999E-3</v>
      </c>
      <c r="T57" s="12">
        <f>Q57/'סכום נכסי הקרן'!$C$42</f>
        <v>3.6847762821859111E-4</v>
      </c>
    </row>
    <row r="58" spans="2:20">
      <c r="B58" s="10" t="s">
        <v>267</v>
      </c>
      <c r="C58" s="43">
        <v>1115104</v>
      </c>
      <c r="D58" s="10" t="s">
        <v>138</v>
      </c>
      <c r="E58" s="10"/>
      <c r="F58" s="10">
        <v>1527</v>
      </c>
      <c r="G58" s="10" t="s">
        <v>259</v>
      </c>
      <c r="H58" s="10" t="s">
        <v>99</v>
      </c>
      <c r="I58" s="10" t="s">
        <v>95</v>
      </c>
      <c r="J58" s="10"/>
      <c r="K58" s="43">
        <v>1.1499999999999999</v>
      </c>
      <c r="L58" s="10" t="s">
        <v>96</v>
      </c>
      <c r="M58" s="44">
        <v>4.3999999999999997E-2</v>
      </c>
      <c r="N58" s="12">
        <v>7.3000000000000001E-3</v>
      </c>
      <c r="O58" s="11">
        <v>93080.05</v>
      </c>
      <c r="P58" s="11">
        <v>113.9</v>
      </c>
      <c r="Q58" s="11">
        <v>106.02</v>
      </c>
      <c r="R58" s="12">
        <v>8.0000000000000004E-4</v>
      </c>
      <c r="S58" s="12">
        <v>1E-4</v>
      </c>
      <c r="T58" s="12">
        <f>Q58/'סכום נכסי הקרן'!$C$42</f>
        <v>2.9154817824347942E-5</v>
      </c>
    </row>
    <row r="59" spans="2:20">
      <c r="B59" s="10" t="s">
        <v>268</v>
      </c>
      <c r="C59" s="43">
        <v>7460140</v>
      </c>
      <c r="D59" s="10" t="s">
        <v>138</v>
      </c>
      <c r="E59" s="10"/>
      <c r="F59" s="10">
        <v>746</v>
      </c>
      <c r="G59" s="10" t="s">
        <v>269</v>
      </c>
      <c r="H59" s="10" t="s">
        <v>99</v>
      </c>
      <c r="I59" s="10" t="s">
        <v>240</v>
      </c>
      <c r="J59" s="10"/>
      <c r="K59" s="43">
        <v>0.59</v>
      </c>
      <c r="L59" s="10" t="s">
        <v>96</v>
      </c>
      <c r="M59" s="44">
        <v>4.1000000000000002E-2</v>
      </c>
      <c r="N59" s="12">
        <v>8.6E-3</v>
      </c>
      <c r="O59" s="11">
        <v>295676.53999999998</v>
      </c>
      <c r="P59" s="11">
        <v>123.81</v>
      </c>
      <c r="Q59" s="11">
        <v>366.08</v>
      </c>
      <c r="R59" s="12">
        <v>1E-3</v>
      </c>
      <c r="S59" s="12">
        <v>5.0000000000000001E-4</v>
      </c>
      <c r="T59" s="12">
        <f>Q59/'סכום נכסי הקרן'!$C$42</f>
        <v>1.0066964449290034E-4</v>
      </c>
    </row>
    <row r="60" spans="2:20">
      <c r="B60" s="10" t="s">
        <v>270</v>
      </c>
      <c r="C60" s="43">
        <v>1139492</v>
      </c>
      <c r="D60" s="10" t="s">
        <v>138</v>
      </c>
      <c r="E60" s="10"/>
      <c r="F60" s="10">
        <v>1239</v>
      </c>
      <c r="G60" s="10" t="s">
        <v>220</v>
      </c>
      <c r="H60" s="10" t="s">
        <v>98</v>
      </c>
      <c r="I60" s="10" t="s">
        <v>240</v>
      </c>
      <c r="J60" s="10"/>
      <c r="K60" s="43">
        <v>4.5599999999999996</v>
      </c>
      <c r="L60" s="10" t="s">
        <v>96</v>
      </c>
      <c r="M60" s="44">
        <v>9.4999999999999998E-3</v>
      </c>
      <c r="N60" s="12">
        <v>1.0699999999999999E-2</v>
      </c>
      <c r="O60" s="11">
        <v>1563000</v>
      </c>
      <c r="P60" s="11">
        <v>99.57</v>
      </c>
      <c r="Q60" s="11">
        <v>1556.28</v>
      </c>
      <c r="R60" s="12">
        <v>3.5999999999999999E-3</v>
      </c>
      <c r="S60" s="12">
        <v>2E-3</v>
      </c>
      <c r="T60" s="12">
        <f>Q60/'סכום נכסי הקרן'!$C$42</f>
        <v>4.2796698626368812E-4</v>
      </c>
    </row>
    <row r="61" spans="2:20">
      <c r="B61" s="10" t="s">
        <v>271</v>
      </c>
      <c r="C61" s="43">
        <v>1126762</v>
      </c>
      <c r="D61" s="10" t="s">
        <v>138</v>
      </c>
      <c r="E61" s="10"/>
      <c r="F61" s="10">
        <v>1239</v>
      </c>
      <c r="G61" s="10" t="s">
        <v>220</v>
      </c>
      <c r="H61" s="10" t="s">
        <v>98</v>
      </c>
      <c r="I61" s="10" t="s">
        <v>240</v>
      </c>
      <c r="J61" s="10"/>
      <c r="K61" s="43">
        <v>1.0900000000000001</v>
      </c>
      <c r="L61" s="10" t="s">
        <v>96</v>
      </c>
      <c r="M61" s="44">
        <v>1.6E-2</v>
      </c>
      <c r="N61" s="12">
        <v>6.8999999999999999E-3</v>
      </c>
      <c r="O61" s="11">
        <v>695415.01</v>
      </c>
      <c r="P61" s="11">
        <v>102.72</v>
      </c>
      <c r="Q61" s="11">
        <v>714.33</v>
      </c>
      <c r="R61" s="12">
        <v>1.4E-3</v>
      </c>
      <c r="S61" s="12">
        <v>8.9999999999999998E-4</v>
      </c>
      <c r="T61" s="12">
        <f>Q61/'סכום נכסי הקרן'!$C$42</f>
        <v>1.9643615371124756E-4</v>
      </c>
    </row>
    <row r="62" spans="2:20">
      <c r="B62" s="10" t="s">
        <v>272</v>
      </c>
      <c r="C62" s="43">
        <v>1110915</v>
      </c>
      <c r="D62" s="10" t="s">
        <v>138</v>
      </c>
      <c r="E62" s="10"/>
      <c r="F62" s="10">
        <v>1063</v>
      </c>
      <c r="G62" s="10" t="s">
        <v>273</v>
      </c>
      <c r="H62" s="10" t="s">
        <v>98</v>
      </c>
      <c r="I62" s="10" t="s">
        <v>95</v>
      </c>
      <c r="J62" s="10"/>
      <c r="K62" s="43">
        <v>8.93</v>
      </c>
      <c r="L62" s="10" t="s">
        <v>96</v>
      </c>
      <c r="M62" s="44">
        <v>5.1499999999999997E-2</v>
      </c>
      <c r="N62" s="12">
        <v>4.2700000000000002E-2</v>
      </c>
      <c r="O62" s="11">
        <v>6044583</v>
      </c>
      <c r="P62" s="11">
        <v>129.56</v>
      </c>
      <c r="Q62" s="11">
        <v>7831.36</v>
      </c>
      <c r="R62" s="12">
        <v>1.6999999999999999E-3</v>
      </c>
      <c r="S62" s="12">
        <v>1.0200000000000001E-2</v>
      </c>
      <c r="T62" s="12">
        <f>Q62/'סכום נכסי הקרן'!$C$42</f>
        <v>2.1535736098555508E-3</v>
      </c>
    </row>
    <row r="63" spans="2:20">
      <c r="B63" s="10" t="s">
        <v>274</v>
      </c>
      <c r="C63" s="43">
        <v>3900206</v>
      </c>
      <c r="D63" s="10" t="s">
        <v>138</v>
      </c>
      <c r="E63" s="10"/>
      <c r="F63" s="10">
        <v>390</v>
      </c>
      <c r="G63" s="10" t="s">
        <v>239</v>
      </c>
      <c r="H63" s="10" t="s">
        <v>98</v>
      </c>
      <c r="I63" s="10" t="s">
        <v>95</v>
      </c>
      <c r="J63" s="10"/>
      <c r="K63" s="43">
        <v>1.1599999999999999</v>
      </c>
      <c r="L63" s="10" t="s">
        <v>96</v>
      </c>
      <c r="M63" s="44">
        <v>4.2500000000000003E-2</v>
      </c>
      <c r="N63" s="12">
        <v>1.0699999999999999E-2</v>
      </c>
      <c r="O63" s="11">
        <v>1061478.3600000001</v>
      </c>
      <c r="P63" s="11">
        <v>128.24</v>
      </c>
      <c r="Q63" s="11">
        <v>1361.24</v>
      </c>
      <c r="R63" s="12">
        <v>1.8E-3</v>
      </c>
      <c r="S63" s="12">
        <v>1.8E-3</v>
      </c>
      <c r="T63" s="12">
        <f>Q63/'סכום נכסי הקרן'!$C$42</f>
        <v>3.7433224123010182E-4</v>
      </c>
    </row>
    <row r="64" spans="2:20">
      <c r="B64" s="10" t="s">
        <v>275</v>
      </c>
      <c r="C64" s="43">
        <v>3900271</v>
      </c>
      <c r="D64" s="10" t="s">
        <v>138</v>
      </c>
      <c r="E64" s="10"/>
      <c r="F64" s="10">
        <v>390</v>
      </c>
      <c r="G64" s="10" t="s">
        <v>239</v>
      </c>
      <c r="H64" s="10" t="s">
        <v>98</v>
      </c>
      <c r="I64" s="10" t="s">
        <v>95</v>
      </c>
      <c r="J64" s="10"/>
      <c r="K64" s="43">
        <v>2.95</v>
      </c>
      <c r="L64" s="10" t="s">
        <v>96</v>
      </c>
      <c r="M64" s="44">
        <v>4.4499999999999998E-2</v>
      </c>
      <c r="N64" s="12">
        <v>1.32E-2</v>
      </c>
      <c r="O64" s="11">
        <v>2715171</v>
      </c>
      <c r="P64" s="11">
        <v>115.59</v>
      </c>
      <c r="Q64" s="11">
        <v>3138.47</v>
      </c>
      <c r="R64" s="12">
        <v>3.5999999999999999E-3</v>
      </c>
      <c r="S64" s="12">
        <v>4.1000000000000003E-3</v>
      </c>
      <c r="T64" s="12">
        <f>Q64/'סכום נכסי הקרן'!$C$42</f>
        <v>8.630590558119344E-4</v>
      </c>
    </row>
    <row r="65" spans="2:20">
      <c r="B65" s="10" t="s">
        <v>276</v>
      </c>
      <c r="C65" s="43">
        <v>1097385</v>
      </c>
      <c r="D65" s="10" t="s">
        <v>138</v>
      </c>
      <c r="E65" s="10"/>
      <c r="F65" s="10">
        <v>1328</v>
      </c>
      <c r="G65" s="10" t="s">
        <v>239</v>
      </c>
      <c r="H65" s="10" t="s">
        <v>98</v>
      </c>
      <c r="I65" s="10" t="s">
        <v>240</v>
      </c>
      <c r="J65" s="10"/>
      <c r="K65" s="43">
        <v>1.48</v>
      </c>
      <c r="L65" s="10" t="s">
        <v>96</v>
      </c>
      <c r="M65" s="44">
        <v>4.9500000000000002E-2</v>
      </c>
      <c r="N65" s="12">
        <v>0.01</v>
      </c>
      <c r="O65" s="11">
        <v>699398.16</v>
      </c>
      <c r="P65" s="11">
        <v>127.29</v>
      </c>
      <c r="Q65" s="11">
        <v>890.26</v>
      </c>
      <c r="R65" s="12">
        <v>1.8E-3</v>
      </c>
      <c r="S65" s="12">
        <v>1.1999999999999999E-3</v>
      </c>
      <c r="T65" s="12">
        <f>Q65/'סכום נכסי הקרן'!$C$42</f>
        <v>2.4481577170631957E-4</v>
      </c>
    </row>
    <row r="66" spans="2:20">
      <c r="B66" s="10" t="s">
        <v>277</v>
      </c>
      <c r="C66" s="43">
        <v>1126630</v>
      </c>
      <c r="D66" s="10" t="s">
        <v>138</v>
      </c>
      <c r="E66" s="10"/>
      <c r="F66" s="10">
        <v>1328</v>
      </c>
      <c r="G66" s="10" t="s">
        <v>239</v>
      </c>
      <c r="H66" s="10" t="s">
        <v>98</v>
      </c>
      <c r="I66" s="10" t="s">
        <v>240</v>
      </c>
      <c r="J66" s="10"/>
      <c r="K66" s="43">
        <v>3.95</v>
      </c>
      <c r="L66" s="10" t="s">
        <v>96</v>
      </c>
      <c r="M66" s="44">
        <v>4.8000000000000001E-2</v>
      </c>
      <c r="N66" s="12">
        <v>1.23E-2</v>
      </c>
      <c r="O66" s="11">
        <v>1476900</v>
      </c>
      <c r="P66" s="11">
        <v>118.14</v>
      </c>
      <c r="Q66" s="11">
        <v>1744.81</v>
      </c>
      <c r="R66" s="12">
        <v>1.1000000000000001E-3</v>
      </c>
      <c r="S66" s="12">
        <v>2.3E-3</v>
      </c>
      <c r="T66" s="12">
        <f>Q66/'סכום נכסי הקרן'!$C$42</f>
        <v>4.7981152318525311E-4</v>
      </c>
    </row>
    <row r="67" spans="2:20">
      <c r="B67" s="10" t="s">
        <v>278</v>
      </c>
      <c r="C67" s="43">
        <v>1117357</v>
      </c>
      <c r="D67" s="10" t="s">
        <v>138</v>
      </c>
      <c r="E67" s="10"/>
      <c r="F67" s="10">
        <v>1328</v>
      </c>
      <c r="G67" s="10" t="s">
        <v>239</v>
      </c>
      <c r="H67" s="10" t="s">
        <v>98</v>
      </c>
      <c r="I67" s="10" t="s">
        <v>240</v>
      </c>
      <c r="J67" s="10"/>
      <c r="K67" s="43">
        <v>2.44</v>
      </c>
      <c r="L67" s="10" t="s">
        <v>96</v>
      </c>
      <c r="M67" s="44">
        <v>4.9000000000000002E-2</v>
      </c>
      <c r="N67" s="12">
        <v>8.6999999999999994E-3</v>
      </c>
      <c r="O67" s="11">
        <v>345656.26</v>
      </c>
      <c r="P67" s="11">
        <v>117.63</v>
      </c>
      <c r="Q67" s="11">
        <f>406.6-16.83</f>
        <v>389.77000000000004</v>
      </c>
      <c r="R67" s="12">
        <v>8.9999999999999998E-4</v>
      </c>
      <c r="S67" s="12">
        <v>5.0000000000000001E-4</v>
      </c>
      <c r="T67" s="12">
        <f>Q67/'סכום נכסי הקרן'!$C$42</f>
        <v>1.0718424206183833E-4</v>
      </c>
    </row>
    <row r="68" spans="2:20">
      <c r="B68" s="10" t="s">
        <v>279</v>
      </c>
      <c r="C68" s="43">
        <v>1110279</v>
      </c>
      <c r="D68" s="10" t="s">
        <v>138</v>
      </c>
      <c r="E68" s="10"/>
      <c r="F68" s="10">
        <v>1153</v>
      </c>
      <c r="G68" s="10" t="s">
        <v>220</v>
      </c>
      <c r="H68" s="10" t="s">
        <v>98</v>
      </c>
      <c r="I68" s="10" t="s">
        <v>240</v>
      </c>
      <c r="J68" s="10"/>
      <c r="K68" s="43">
        <v>0.28000000000000003</v>
      </c>
      <c r="L68" s="10" t="s">
        <v>96</v>
      </c>
      <c r="M68" s="44">
        <v>4.2999999999999997E-2</v>
      </c>
      <c r="N68" s="12">
        <v>3.1699999999999999E-2</v>
      </c>
      <c r="O68" s="11">
        <v>168439.02</v>
      </c>
      <c r="P68" s="11">
        <v>117.15</v>
      </c>
      <c r="Q68" s="11">
        <v>197.33</v>
      </c>
      <c r="R68" s="12">
        <v>2.3999999999999998E-3</v>
      </c>
      <c r="S68" s="12">
        <v>2.9999999999999997E-4</v>
      </c>
      <c r="T68" s="12">
        <f>Q68/'סכום נכסי הקרן'!$C$42</f>
        <v>5.426448029879815E-5</v>
      </c>
    </row>
    <row r="69" spans="2:20">
      <c r="B69" s="10" t="s">
        <v>280</v>
      </c>
      <c r="C69" s="43">
        <v>1122860</v>
      </c>
      <c r="D69" s="10" t="s">
        <v>138</v>
      </c>
      <c r="E69" s="10"/>
      <c r="F69" s="10">
        <v>1560</v>
      </c>
      <c r="G69" s="10" t="s">
        <v>239</v>
      </c>
      <c r="H69" s="10" t="s">
        <v>98</v>
      </c>
      <c r="I69" s="10" t="s">
        <v>95</v>
      </c>
      <c r="J69" s="10"/>
      <c r="K69" s="43">
        <v>1.95</v>
      </c>
      <c r="L69" s="10" t="s">
        <v>96</v>
      </c>
      <c r="M69" s="44">
        <v>4.8000000000000001E-2</v>
      </c>
      <c r="N69" s="12">
        <v>9.9000000000000008E-3</v>
      </c>
      <c r="O69" s="11">
        <v>421783.69</v>
      </c>
      <c r="P69" s="11">
        <v>114.32</v>
      </c>
      <c r="Q69" s="11">
        <v>482.18</v>
      </c>
      <c r="R69" s="12">
        <v>1.8E-3</v>
      </c>
      <c r="S69" s="12">
        <v>5.9999999999999995E-4</v>
      </c>
      <c r="T69" s="12">
        <f>Q69/'סכום נכסי הקרן'!$C$42</f>
        <v>1.3259639745844267E-4</v>
      </c>
    </row>
    <row r="70" spans="2:20">
      <c r="B70" s="10" t="s">
        <v>281</v>
      </c>
      <c r="C70" s="43">
        <v>7590110</v>
      </c>
      <c r="D70" s="10" t="s">
        <v>138</v>
      </c>
      <c r="E70" s="10"/>
      <c r="F70" s="10">
        <v>759</v>
      </c>
      <c r="G70" s="10" t="s">
        <v>239</v>
      </c>
      <c r="H70" s="10" t="s">
        <v>98</v>
      </c>
      <c r="I70" s="10" t="s">
        <v>95</v>
      </c>
      <c r="J70" s="10"/>
      <c r="K70" s="43">
        <v>0.74</v>
      </c>
      <c r="L70" s="10" t="s">
        <v>96</v>
      </c>
      <c r="M70" s="44">
        <v>4.5499999999999999E-2</v>
      </c>
      <c r="N70" s="12">
        <v>1.18E-2</v>
      </c>
      <c r="O70" s="11">
        <v>66596</v>
      </c>
      <c r="P70" s="11">
        <v>124.26</v>
      </c>
      <c r="Q70" s="11">
        <v>82.75</v>
      </c>
      <c r="R70" s="12">
        <v>2.0000000000000001E-4</v>
      </c>
      <c r="S70" s="12">
        <v>1E-4</v>
      </c>
      <c r="T70" s="12">
        <f>Q70/'סכום נכסי הקרן'!$C$42</f>
        <v>2.2755717552959747E-5</v>
      </c>
    </row>
    <row r="71" spans="2:20">
      <c r="B71" s="10" t="s">
        <v>282</v>
      </c>
      <c r="C71" s="43">
        <v>7590128</v>
      </c>
      <c r="D71" s="10" t="s">
        <v>138</v>
      </c>
      <c r="E71" s="10"/>
      <c r="F71" s="10">
        <v>759</v>
      </c>
      <c r="G71" s="10" t="s">
        <v>239</v>
      </c>
      <c r="H71" s="10" t="s">
        <v>98</v>
      </c>
      <c r="I71" s="10" t="s">
        <v>95</v>
      </c>
      <c r="J71" s="10"/>
      <c r="K71" s="43">
        <v>5.89</v>
      </c>
      <c r="L71" s="10" t="s">
        <v>96</v>
      </c>
      <c r="M71" s="44">
        <v>4.7500000000000001E-2</v>
      </c>
      <c r="N71" s="12">
        <v>1.9699999999999999E-2</v>
      </c>
      <c r="O71" s="11">
        <v>1283000</v>
      </c>
      <c r="P71" s="11">
        <v>142.25</v>
      </c>
      <c r="Q71" s="11">
        <v>1825.07</v>
      </c>
      <c r="R71" s="12">
        <v>8.0000000000000004E-4</v>
      </c>
      <c r="S71" s="12">
        <v>2.3999999999999998E-3</v>
      </c>
      <c r="T71" s="12">
        <f>Q71/'סכום נכסי הקרן'!$C$42</f>
        <v>5.0188250675988204E-4</v>
      </c>
    </row>
    <row r="72" spans="2:20">
      <c r="B72" s="10" t="s">
        <v>283</v>
      </c>
      <c r="C72" s="43">
        <v>1260546</v>
      </c>
      <c r="D72" s="10" t="s">
        <v>138</v>
      </c>
      <c r="E72" s="10"/>
      <c r="F72" s="10">
        <v>126</v>
      </c>
      <c r="G72" s="10" t="s">
        <v>239</v>
      </c>
      <c r="H72" s="10" t="s">
        <v>98</v>
      </c>
      <c r="I72" s="10" t="s">
        <v>95</v>
      </c>
      <c r="J72" s="10"/>
      <c r="K72" s="43">
        <v>5.0599999999999996</v>
      </c>
      <c r="L72" s="10" t="s">
        <v>96</v>
      </c>
      <c r="M72" s="44">
        <v>5.3499999999999999E-2</v>
      </c>
      <c r="N72" s="12">
        <v>2.86E-2</v>
      </c>
      <c r="O72" s="11">
        <v>3130600</v>
      </c>
      <c r="P72" s="11">
        <v>117.25</v>
      </c>
      <c r="Q72" s="11">
        <v>3670.63</v>
      </c>
      <c r="R72" s="12">
        <v>1.1999999999999999E-3</v>
      </c>
      <c r="S72" s="12">
        <v>4.7999999999999996E-3</v>
      </c>
      <c r="T72" s="12">
        <f>Q72/'סכום נכסי הקרן'!$C$42</f>
        <v>1.0093996316787993E-3</v>
      </c>
    </row>
    <row r="73" spans="2:20">
      <c r="B73" s="10" t="s">
        <v>284</v>
      </c>
      <c r="C73" s="43">
        <v>1260488</v>
      </c>
      <c r="D73" s="10" t="s">
        <v>138</v>
      </c>
      <c r="E73" s="10"/>
      <c r="F73" s="10">
        <v>126</v>
      </c>
      <c r="G73" s="10" t="s">
        <v>239</v>
      </c>
      <c r="H73" s="10" t="s">
        <v>98</v>
      </c>
      <c r="I73" s="10" t="s">
        <v>95</v>
      </c>
      <c r="J73" s="10"/>
      <c r="K73" s="43">
        <v>2.48</v>
      </c>
      <c r="L73" s="10" t="s">
        <v>96</v>
      </c>
      <c r="M73" s="44">
        <v>6.5000000000000002E-2</v>
      </c>
      <c r="N73" s="12">
        <v>1.0500000000000001E-2</v>
      </c>
      <c r="O73" s="11">
        <v>3223843.67</v>
      </c>
      <c r="P73" s="11">
        <v>129.63</v>
      </c>
      <c r="Q73" s="11">
        <v>4179.07</v>
      </c>
      <c r="R73" s="12">
        <v>4.5999999999999999E-3</v>
      </c>
      <c r="S73" s="12">
        <v>5.4000000000000003E-3</v>
      </c>
      <c r="T73" s="12">
        <f>Q73/'סכום נכסי הקרן'!$C$42</f>
        <v>1.1492173601697581E-3</v>
      </c>
    </row>
    <row r="74" spans="2:20">
      <c r="B74" s="10" t="s">
        <v>285</v>
      </c>
      <c r="C74" s="43">
        <v>1260603</v>
      </c>
      <c r="D74" s="10" t="s">
        <v>138</v>
      </c>
      <c r="E74" s="10"/>
      <c r="F74" s="10">
        <v>126</v>
      </c>
      <c r="G74" s="10" t="s">
        <v>239</v>
      </c>
      <c r="H74" s="10" t="s">
        <v>98</v>
      </c>
      <c r="I74" s="10" t="s">
        <v>95</v>
      </c>
      <c r="J74" s="10"/>
      <c r="K74" s="43">
        <v>7.66</v>
      </c>
      <c r="L74" s="10" t="s">
        <v>96</v>
      </c>
      <c r="M74" s="44">
        <v>0.04</v>
      </c>
      <c r="N74" s="12">
        <v>3.9600000000000003E-2</v>
      </c>
      <c r="O74" s="11">
        <v>6298783.2999999998</v>
      </c>
      <c r="P74" s="11">
        <v>100.6</v>
      </c>
      <c r="Q74" s="11">
        <f>6336.58-49.32</f>
        <v>6287.26</v>
      </c>
      <c r="R74" s="12">
        <v>2.0999999999999999E-3</v>
      </c>
      <c r="S74" s="12">
        <v>8.2000000000000007E-3</v>
      </c>
      <c r="T74" s="12">
        <f>Q74/'סכום נכסי הקרן'!$C$42</f>
        <v>1.7289560452208061E-3</v>
      </c>
    </row>
    <row r="75" spans="2:20">
      <c r="B75" s="10" t="s">
        <v>286</v>
      </c>
      <c r="C75" s="43">
        <v>1260306</v>
      </c>
      <c r="D75" s="10" t="s">
        <v>138</v>
      </c>
      <c r="E75" s="10"/>
      <c r="F75" s="10">
        <v>126</v>
      </c>
      <c r="G75" s="10" t="s">
        <v>239</v>
      </c>
      <c r="H75" s="10" t="s">
        <v>98</v>
      </c>
      <c r="I75" s="10" t="s">
        <v>95</v>
      </c>
      <c r="J75" s="10"/>
      <c r="K75" s="43">
        <v>1.23</v>
      </c>
      <c r="L75" s="10" t="s">
        <v>96</v>
      </c>
      <c r="M75" s="44">
        <v>4.9500000000000002E-2</v>
      </c>
      <c r="N75" s="12">
        <v>1.2500000000000001E-2</v>
      </c>
      <c r="O75" s="11">
        <v>564138.06999999995</v>
      </c>
      <c r="P75" s="11">
        <v>128.46</v>
      </c>
      <c r="Q75" s="11">
        <v>724.69</v>
      </c>
      <c r="R75" s="12">
        <v>1.1000000000000001E-3</v>
      </c>
      <c r="S75" s="12">
        <v>8.9999999999999998E-4</v>
      </c>
      <c r="T75" s="12">
        <f>Q75/'סכום נכסי הקרן'!$C$42</f>
        <v>1.9928508705080846E-4</v>
      </c>
    </row>
    <row r="76" spans="2:20">
      <c r="B76" s="10" t="s">
        <v>287</v>
      </c>
      <c r="C76" s="43">
        <v>1260397</v>
      </c>
      <c r="D76" s="10" t="s">
        <v>138</v>
      </c>
      <c r="E76" s="10"/>
      <c r="F76" s="10">
        <v>126</v>
      </c>
      <c r="G76" s="10" t="s">
        <v>239</v>
      </c>
      <c r="H76" s="10" t="s">
        <v>98</v>
      </c>
      <c r="I76" s="10" t="s">
        <v>95</v>
      </c>
      <c r="J76" s="10"/>
      <c r="K76" s="43">
        <v>3.08</v>
      </c>
      <c r="L76" s="10" t="s">
        <v>96</v>
      </c>
      <c r="M76" s="44">
        <v>5.0999999999999997E-2</v>
      </c>
      <c r="N76" s="12">
        <v>1.9300000000000001E-2</v>
      </c>
      <c r="O76" s="11">
        <v>170000</v>
      </c>
      <c r="P76" s="11">
        <v>133.72999999999999</v>
      </c>
      <c r="Q76" s="11">
        <v>227.34</v>
      </c>
      <c r="R76" s="12">
        <v>1E-4</v>
      </c>
      <c r="S76" s="12">
        <v>2.9999999999999997E-4</v>
      </c>
      <c r="T76" s="12">
        <f>Q76/'סכום נכסי הקרן'!$C$42</f>
        <v>6.2517037202294493E-5</v>
      </c>
    </row>
    <row r="77" spans="2:20">
      <c r="B77" s="10" t="s">
        <v>288</v>
      </c>
      <c r="C77" s="43">
        <v>1260462</v>
      </c>
      <c r="D77" s="10" t="s">
        <v>138</v>
      </c>
      <c r="E77" s="10"/>
      <c r="F77" s="10">
        <v>126</v>
      </c>
      <c r="G77" s="10" t="s">
        <v>239</v>
      </c>
      <c r="H77" s="10" t="s">
        <v>98</v>
      </c>
      <c r="I77" s="10" t="s">
        <v>95</v>
      </c>
      <c r="J77" s="10"/>
      <c r="K77" s="43">
        <v>1.46</v>
      </c>
      <c r="L77" s="10" t="s">
        <v>96</v>
      </c>
      <c r="M77" s="44">
        <v>5.2999999999999999E-2</v>
      </c>
      <c r="N77" s="12">
        <v>1.23E-2</v>
      </c>
      <c r="O77" s="11">
        <v>958007.81</v>
      </c>
      <c r="P77" s="11">
        <v>123.15</v>
      </c>
      <c r="Q77" s="11">
        <v>1179.79</v>
      </c>
      <c r="R77" s="12">
        <v>2E-3</v>
      </c>
      <c r="S77" s="12">
        <v>1.5E-3</v>
      </c>
      <c r="T77" s="12">
        <f>Q77/'סכום נכסי הקרן'!$C$42</f>
        <v>3.2443465875294717E-4</v>
      </c>
    </row>
    <row r="78" spans="2:20">
      <c r="B78" s="10" t="s">
        <v>289</v>
      </c>
      <c r="C78" s="43">
        <v>1134147</v>
      </c>
      <c r="D78" s="10" t="s">
        <v>138</v>
      </c>
      <c r="E78" s="10"/>
      <c r="F78" s="10">
        <v>1291</v>
      </c>
      <c r="G78" s="10" t="s">
        <v>220</v>
      </c>
      <c r="H78" s="10" t="s">
        <v>98</v>
      </c>
      <c r="I78" s="10" t="s">
        <v>95</v>
      </c>
      <c r="J78" s="10"/>
      <c r="K78" s="43">
        <v>6.14</v>
      </c>
      <c r="L78" s="10" t="s">
        <v>96</v>
      </c>
      <c r="M78" s="44">
        <v>1.4999999999999999E-2</v>
      </c>
      <c r="N78" s="12">
        <v>1.4800000000000001E-2</v>
      </c>
      <c r="O78" s="11">
        <v>45656.33</v>
      </c>
      <c r="P78" s="11">
        <v>101.47</v>
      </c>
      <c r="Q78" s="11">
        <v>46.33</v>
      </c>
      <c r="R78" s="12">
        <v>1E-4</v>
      </c>
      <c r="S78" s="12">
        <v>1E-4</v>
      </c>
      <c r="T78" s="12">
        <f>Q78/'סכום נכסי הקרן'!$C$42</f>
        <v>1.2740451894001511E-5</v>
      </c>
    </row>
    <row r="79" spans="2:20">
      <c r="B79" s="10" t="s">
        <v>290</v>
      </c>
      <c r="C79" s="43">
        <v>1119825</v>
      </c>
      <c r="D79" s="10" t="s">
        <v>138</v>
      </c>
      <c r="E79" s="10"/>
      <c r="F79" s="10">
        <v>1291</v>
      </c>
      <c r="G79" s="10" t="s">
        <v>220</v>
      </c>
      <c r="H79" s="10" t="s">
        <v>98</v>
      </c>
      <c r="I79" s="10" t="s">
        <v>95</v>
      </c>
      <c r="J79" s="10"/>
      <c r="K79" s="43">
        <v>3.43</v>
      </c>
      <c r="L79" s="10" t="s">
        <v>96</v>
      </c>
      <c r="M79" s="44">
        <v>3.5499999999999997E-2</v>
      </c>
      <c r="N79" s="12">
        <v>8.3000000000000001E-3</v>
      </c>
      <c r="O79" s="11">
        <v>437500.59</v>
      </c>
      <c r="P79" s="11">
        <v>118.35</v>
      </c>
      <c r="Q79" s="11">
        <v>517.78</v>
      </c>
      <c r="R79" s="12">
        <v>8.9999999999999998E-4</v>
      </c>
      <c r="S79" s="12">
        <v>6.9999999999999999E-4</v>
      </c>
      <c r="T79" s="12">
        <f>Q79/'סכום נכסי הקרן'!$C$42</f>
        <v>1.4238616839361325E-4</v>
      </c>
    </row>
    <row r="80" spans="2:20">
      <c r="B80" s="10" t="s">
        <v>291</v>
      </c>
      <c r="C80" s="43">
        <v>1095066</v>
      </c>
      <c r="D80" s="10" t="s">
        <v>138</v>
      </c>
      <c r="E80" s="10"/>
      <c r="F80" s="10">
        <v>1291</v>
      </c>
      <c r="G80" s="10" t="s">
        <v>220</v>
      </c>
      <c r="H80" s="10" t="s">
        <v>98</v>
      </c>
      <c r="I80" s="10" t="s">
        <v>95</v>
      </c>
      <c r="J80" s="10"/>
      <c r="K80" s="43">
        <v>2.38</v>
      </c>
      <c r="L80" s="10" t="s">
        <v>96</v>
      </c>
      <c r="M80" s="44">
        <v>4.65E-2</v>
      </c>
      <c r="N80" s="12">
        <v>8.0999999999999996E-3</v>
      </c>
      <c r="O80" s="11">
        <v>1570064.84</v>
      </c>
      <c r="P80" s="11">
        <v>130.22</v>
      </c>
      <c r="Q80" s="11">
        <v>2044.54</v>
      </c>
      <c r="R80" s="12">
        <v>3.0000000000000001E-3</v>
      </c>
      <c r="S80" s="12">
        <v>2.7000000000000001E-3</v>
      </c>
      <c r="T80" s="12">
        <f>Q80/'סכום נכסי הקרן'!$C$42</f>
        <v>5.6223534460094642E-4</v>
      </c>
    </row>
    <row r="81" spans="2:20">
      <c r="B81" s="10" t="s">
        <v>292</v>
      </c>
      <c r="C81" s="43">
        <v>1128875</v>
      </c>
      <c r="D81" s="10" t="s">
        <v>138</v>
      </c>
      <c r="E81" s="10"/>
      <c r="F81" s="10">
        <v>1367</v>
      </c>
      <c r="G81" s="10" t="s">
        <v>259</v>
      </c>
      <c r="H81" s="10" t="s">
        <v>98</v>
      </c>
      <c r="I81" s="10" t="s">
        <v>95</v>
      </c>
      <c r="J81" s="10"/>
      <c r="K81" s="43">
        <v>5.07</v>
      </c>
      <c r="L81" s="10" t="s">
        <v>96</v>
      </c>
      <c r="M81" s="44">
        <v>2.8000000000000001E-2</v>
      </c>
      <c r="N81" s="12">
        <v>1.6899999999999998E-2</v>
      </c>
      <c r="O81" s="11">
        <v>1067000</v>
      </c>
      <c r="P81" s="11">
        <v>105.97</v>
      </c>
      <c r="Q81" s="11">
        <v>1130.7</v>
      </c>
      <c r="R81" s="12">
        <v>4.7000000000000002E-3</v>
      </c>
      <c r="S81" s="12">
        <v>1.5E-3</v>
      </c>
      <c r="T81" s="12">
        <f>Q81/'סכום נכסי הקרן'!$C$42</f>
        <v>3.1093522461790439E-4</v>
      </c>
    </row>
    <row r="82" spans="2:20">
      <c r="B82" s="10" t="s">
        <v>293</v>
      </c>
      <c r="C82" s="43">
        <v>1119213</v>
      </c>
      <c r="D82" s="10" t="s">
        <v>138</v>
      </c>
      <c r="E82" s="10"/>
      <c r="F82" s="10">
        <v>1367</v>
      </c>
      <c r="G82" s="10" t="s">
        <v>259</v>
      </c>
      <c r="H82" s="10" t="s">
        <v>98</v>
      </c>
      <c r="I82" s="10" t="s">
        <v>95</v>
      </c>
      <c r="J82" s="10"/>
      <c r="K82" s="43">
        <v>3.24</v>
      </c>
      <c r="L82" s="10" t="s">
        <v>96</v>
      </c>
      <c r="M82" s="44">
        <v>3.9E-2</v>
      </c>
      <c r="N82" s="12">
        <v>1.2E-2</v>
      </c>
      <c r="O82" s="11">
        <v>2953000</v>
      </c>
      <c r="P82" s="11">
        <v>117.05</v>
      </c>
      <c r="Q82" s="11">
        <v>3456.49</v>
      </c>
      <c r="R82" s="12">
        <v>1.4800000000000001E-2</v>
      </c>
      <c r="S82" s="12">
        <v>4.4999999999999997E-3</v>
      </c>
      <c r="T82" s="12">
        <f>Q82/'סכום נכסי הקרן'!$C$42</f>
        <v>9.5051250954235442E-4</v>
      </c>
    </row>
    <row r="83" spans="2:20">
      <c r="B83" s="10" t="s">
        <v>294</v>
      </c>
      <c r="C83" s="43">
        <v>1119221</v>
      </c>
      <c r="D83" s="10" t="s">
        <v>138</v>
      </c>
      <c r="E83" s="10"/>
      <c r="F83" s="10">
        <v>1367</v>
      </c>
      <c r="G83" s="10" t="s">
        <v>259</v>
      </c>
      <c r="H83" s="10" t="s">
        <v>98</v>
      </c>
      <c r="I83" s="10" t="s">
        <v>95</v>
      </c>
      <c r="J83" s="10"/>
      <c r="K83" s="43">
        <v>4.1100000000000003</v>
      </c>
      <c r="L83" s="10" t="s">
        <v>96</v>
      </c>
      <c r="M83" s="44">
        <v>3.9E-2</v>
      </c>
      <c r="N83" s="12">
        <v>1.44E-2</v>
      </c>
      <c r="O83" s="11">
        <v>1793000</v>
      </c>
      <c r="P83" s="11">
        <v>118.62</v>
      </c>
      <c r="Q83" s="11">
        <v>2126.86</v>
      </c>
      <c r="R83" s="12">
        <v>4.4999999999999997E-3</v>
      </c>
      <c r="S83" s="12">
        <v>2.8E-3</v>
      </c>
      <c r="T83" s="12">
        <f>Q83/'סכום נכסי הקרן'!$C$42</f>
        <v>5.8487281492070053E-4</v>
      </c>
    </row>
    <row r="84" spans="2:20">
      <c r="B84" s="10" t="s">
        <v>295</v>
      </c>
      <c r="C84" s="43">
        <v>1120120</v>
      </c>
      <c r="D84" s="10" t="s">
        <v>138</v>
      </c>
      <c r="E84" s="10"/>
      <c r="F84" s="10">
        <v>1324</v>
      </c>
      <c r="G84" s="10" t="s">
        <v>259</v>
      </c>
      <c r="H84" s="10" t="s">
        <v>98</v>
      </c>
      <c r="I84" s="10" t="s">
        <v>95</v>
      </c>
      <c r="J84" s="10"/>
      <c r="K84" s="43">
        <v>4.22</v>
      </c>
      <c r="L84" s="10" t="s">
        <v>96</v>
      </c>
      <c r="M84" s="44">
        <v>3.7499999999999999E-2</v>
      </c>
      <c r="N84" s="12">
        <v>1.4200000000000001E-2</v>
      </c>
      <c r="O84" s="11">
        <v>4985200</v>
      </c>
      <c r="P84" s="11">
        <v>118.93</v>
      </c>
      <c r="Q84" s="11">
        <v>5928.9</v>
      </c>
      <c r="R84" s="12">
        <v>6.4000000000000003E-3</v>
      </c>
      <c r="S84" s="12">
        <v>7.7000000000000002E-3</v>
      </c>
      <c r="T84" s="12">
        <f>Q84/'סכום נכסי הקרן'!$C$42</f>
        <v>1.6304093510542965E-3</v>
      </c>
    </row>
    <row r="85" spans="2:20">
      <c r="B85" s="10" t="s">
        <v>296</v>
      </c>
      <c r="C85" s="43">
        <v>1132950</v>
      </c>
      <c r="D85" s="10" t="s">
        <v>138</v>
      </c>
      <c r="E85" s="10"/>
      <c r="F85" s="10">
        <v>1324</v>
      </c>
      <c r="G85" s="10" t="s">
        <v>259</v>
      </c>
      <c r="H85" s="10" t="s">
        <v>98</v>
      </c>
      <c r="I85" s="10" t="s">
        <v>95</v>
      </c>
      <c r="J85" s="10"/>
      <c r="K85" s="43">
        <v>8.8800000000000008</v>
      </c>
      <c r="L85" s="10" t="s">
        <v>96</v>
      </c>
      <c r="M85" s="44">
        <v>2.3199999999999998E-2</v>
      </c>
      <c r="N85" s="12">
        <v>2.47E-2</v>
      </c>
      <c r="O85" s="11">
        <v>12658.21</v>
      </c>
      <c r="P85" s="11">
        <v>99.96</v>
      </c>
      <c r="Q85" s="11">
        <v>12.65</v>
      </c>
      <c r="R85" s="12">
        <v>0</v>
      </c>
      <c r="S85" s="12">
        <v>0</v>
      </c>
      <c r="T85" s="12">
        <f>Q85/'סכום נכסי הקרן'!$C$42</f>
        <v>3.4786686047726985E-6</v>
      </c>
    </row>
    <row r="86" spans="2:20">
      <c r="B86" s="10" t="s">
        <v>297</v>
      </c>
      <c r="C86" s="43">
        <v>3230174</v>
      </c>
      <c r="D86" s="10" t="s">
        <v>138</v>
      </c>
      <c r="E86" s="10"/>
      <c r="F86" s="10">
        <v>323</v>
      </c>
      <c r="G86" s="10" t="s">
        <v>239</v>
      </c>
      <c r="H86" s="10" t="s">
        <v>98</v>
      </c>
      <c r="I86" s="10" t="s">
        <v>95</v>
      </c>
      <c r="J86" s="10"/>
      <c r="K86" s="43">
        <v>3.2</v>
      </c>
      <c r="L86" s="10" t="s">
        <v>96</v>
      </c>
      <c r="M86" s="44">
        <v>2.29E-2</v>
      </c>
      <c r="N86" s="12">
        <v>1.6E-2</v>
      </c>
      <c r="O86" s="11">
        <v>1199084.8700000001</v>
      </c>
      <c r="P86" s="11">
        <v>102.25</v>
      </c>
      <c r="Q86" s="11">
        <v>1226.06</v>
      </c>
      <c r="R86" s="12">
        <v>2E-3</v>
      </c>
      <c r="S86" s="12">
        <v>1.6000000000000001E-3</v>
      </c>
      <c r="T86" s="12">
        <f>Q86/'סכום נכסי הקרן'!$C$42</f>
        <v>3.3715861103301298E-4</v>
      </c>
    </row>
    <row r="87" spans="2:20">
      <c r="B87" s="10" t="s">
        <v>298</v>
      </c>
      <c r="C87" s="43">
        <v>3230232</v>
      </c>
      <c r="D87" s="10" t="s">
        <v>138</v>
      </c>
      <c r="E87" s="10"/>
      <c r="F87" s="10">
        <v>323</v>
      </c>
      <c r="G87" s="10" t="s">
        <v>239</v>
      </c>
      <c r="H87" s="10" t="s">
        <v>98</v>
      </c>
      <c r="I87" s="10" t="s">
        <v>95</v>
      </c>
      <c r="J87" s="10"/>
      <c r="K87" s="43">
        <v>7.68</v>
      </c>
      <c r="L87" s="10" t="s">
        <v>96</v>
      </c>
      <c r="M87" s="44">
        <v>2.1499999999999998E-2</v>
      </c>
      <c r="N87" s="12">
        <v>2.64E-2</v>
      </c>
      <c r="O87" s="11">
        <v>6106320</v>
      </c>
      <c r="P87" s="11">
        <v>97.4</v>
      </c>
      <c r="Q87" s="11">
        <v>5947.56</v>
      </c>
      <c r="R87" s="12">
        <v>1.1299999999999999E-2</v>
      </c>
      <c r="S87" s="12">
        <v>7.7000000000000002E-3</v>
      </c>
      <c r="T87" s="12">
        <f>Q87/'סכום נכסי הקרן'!$C$42</f>
        <v>1.6355407309882933E-3</v>
      </c>
    </row>
    <row r="88" spans="2:20">
      <c r="B88" s="10" t="s">
        <v>299</v>
      </c>
      <c r="C88" s="43">
        <v>3230216</v>
      </c>
      <c r="D88" s="10" t="s">
        <v>138</v>
      </c>
      <c r="E88" s="10"/>
      <c r="F88" s="10">
        <v>323</v>
      </c>
      <c r="G88" s="10" t="s">
        <v>239</v>
      </c>
      <c r="H88" s="10" t="s">
        <v>98</v>
      </c>
      <c r="I88" s="10" t="s">
        <v>95</v>
      </c>
      <c r="J88" s="10"/>
      <c r="K88" s="43">
        <v>0.91</v>
      </c>
      <c r="L88" s="10" t="s">
        <v>96</v>
      </c>
      <c r="M88" s="44">
        <v>5.5E-2</v>
      </c>
      <c r="N88" s="12">
        <v>9.2999999999999992E-3</v>
      </c>
      <c r="O88" s="11">
        <v>66617.710000000006</v>
      </c>
      <c r="P88" s="11">
        <v>124.55</v>
      </c>
      <c r="Q88" s="11">
        <v>82.97</v>
      </c>
      <c r="R88" s="12">
        <v>1.5E-3</v>
      </c>
      <c r="S88" s="12">
        <v>1E-4</v>
      </c>
      <c r="T88" s="12">
        <f>Q88/'סכום נכסי הקרן'!$C$42</f>
        <v>2.2816216137390574E-5</v>
      </c>
    </row>
    <row r="89" spans="2:20">
      <c r="B89" s="10" t="s">
        <v>300</v>
      </c>
      <c r="C89" s="43">
        <v>3230224</v>
      </c>
      <c r="D89" s="10" t="s">
        <v>138</v>
      </c>
      <c r="E89" s="10"/>
      <c r="F89" s="10">
        <v>323</v>
      </c>
      <c r="G89" s="10" t="s">
        <v>239</v>
      </c>
      <c r="H89" s="10" t="s">
        <v>98</v>
      </c>
      <c r="I89" s="10" t="s">
        <v>95</v>
      </c>
      <c r="J89" s="10"/>
      <c r="K89" s="43">
        <v>3.2</v>
      </c>
      <c r="L89" s="10" t="s">
        <v>96</v>
      </c>
      <c r="M89" s="44">
        <v>5.8500000000000003E-2</v>
      </c>
      <c r="N89" s="12">
        <v>1.5100000000000001E-2</v>
      </c>
      <c r="O89" s="11">
        <v>346701.32</v>
      </c>
      <c r="P89" s="11">
        <v>122.89</v>
      </c>
      <c r="Q89" s="11">
        <v>426.06</v>
      </c>
      <c r="R89" s="12">
        <v>2.0000000000000001E-4</v>
      </c>
      <c r="S89" s="12">
        <v>5.9999999999999995E-4</v>
      </c>
      <c r="T89" s="12">
        <f>Q89/'סכום נכסי הקרן'!$C$42</f>
        <v>1.1716375855726925E-4</v>
      </c>
    </row>
    <row r="90" spans="2:20">
      <c r="B90" s="10" t="s">
        <v>301</v>
      </c>
      <c r="C90" s="43">
        <v>3230125</v>
      </c>
      <c r="D90" s="10" t="s">
        <v>138</v>
      </c>
      <c r="E90" s="10"/>
      <c r="F90" s="10">
        <v>323</v>
      </c>
      <c r="G90" s="10" t="s">
        <v>239</v>
      </c>
      <c r="H90" s="10" t="s">
        <v>98</v>
      </c>
      <c r="I90" s="10" t="s">
        <v>95</v>
      </c>
      <c r="J90" s="10"/>
      <c r="K90" s="43">
        <v>3.51</v>
      </c>
      <c r="L90" s="10" t="s">
        <v>96</v>
      </c>
      <c r="M90" s="44">
        <v>4.9000000000000002E-2</v>
      </c>
      <c r="N90" s="12">
        <v>1.5800000000000002E-2</v>
      </c>
      <c r="O90" s="11">
        <v>699001.64</v>
      </c>
      <c r="P90" s="11">
        <v>115.23</v>
      </c>
      <c r="Q90" s="11">
        <v>805.46</v>
      </c>
      <c r="R90" s="12">
        <v>8.0000000000000004E-4</v>
      </c>
      <c r="S90" s="12">
        <v>1E-3</v>
      </c>
      <c r="T90" s="12">
        <f>Q90/'סכום נכסי הקרן'!$C$42</f>
        <v>2.2149631734389073E-4</v>
      </c>
    </row>
    <row r="91" spans="2:20">
      <c r="B91" s="10" t="s">
        <v>302</v>
      </c>
      <c r="C91" s="43">
        <v>3230083</v>
      </c>
      <c r="D91" s="10" t="s">
        <v>138</v>
      </c>
      <c r="E91" s="10"/>
      <c r="F91" s="10">
        <v>323</v>
      </c>
      <c r="G91" s="10" t="s">
        <v>239</v>
      </c>
      <c r="H91" s="10" t="s">
        <v>98</v>
      </c>
      <c r="I91" s="10" t="s">
        <v>95</v>
      </c>
      <c r="J91" s="10"/>
      <c r="K91" s="43">
        <v>0.66</v>
      </c>
      <c r="L91" s="10" t="s">
        <v>96</v>
      </c>
      <c r="M91" s="44">
        <v>4.7E-2</v>
      </c>
      <c r="N91" s="12">
        <v>4.3E-3</v>
      </c>
      <c r="O91" s="11">
        <v>4000</v>
      </c>
      <c r="P91" s="11">
        <v>120.54</v>
      </c>
      <c r="Q91" s="11">
        <v>4.82</v>
      </c>
      <c r="R91" s="12">
        <v>0</v>
      </c>
      <c r="S91" s="12">
        <v>0</v>
      </c>
      <c r="T91" s="12">
        <f>Q91/'סכום נכסי הקרן'!$C$42</f>
        <v>1.3254689861663562E-6</v>
      </c>
    </row>
    <row r="92" spans="2:20">
      <c r="B92" s="10" t="s">
        <v>303</v>
      </c>
      <c r="C92" s="43">
        <v>3230091</v>
      </c>
      <c r="D92" s="10" t="s">
        <v>138</v>
      </c>
      <c r="E92" s="10"/>
      <c r="F92" s="10">
        <v>323</v>
      </c>
      <c r="G92" s="10" t="s">
        <v>239</v>
      </c>
      <c r="H92" s="10" t="s">
        <v>98</v>
      </c>
      <c r="I92" s="10" t="s">
        <v>95</v>
      </c>
      <c r="J92" s="10"/>
      <c r="K92" s="43">
        <v>3.19</v>
      </c>
      <c r="L92" s="10" t="s">
        <v>96</v>
      </c>
      <c r="M92" s="44">
        <v>5.0999999999999997E-2</v>
      </c>
      <c r="N92" s="12">
        <v>1.0699999999999999E-2</v>
      </c>
      <c r="O92" s="11">
        <v>4609310.1500000004</v>
      </c>
      <c r="P92" s="11">
        <v>124.46</v>
      </c>
      <c r="Q92" s="11">
        <f>5736.75-78.41</f>
        <v>5658.34</v>
      </c>
      <c r="R92" s="12">
        <v>4.1000000000000003E-3</v>
      </c>
      <c r="S92" s="12">
        <v>7.4000000000000003E-3</v>
      </c>
      <c r="T92" s="12">
        <f>Q92/'סכום נכסי הקרן'!$C$42</f>
        <v>1.556007091947E-3</v>
      </c>
    </row>
    <row r="93" spans="2:20">
      <c r="B93" s="10" t="s">
        <v>304</v>
      </c>
      <c r="C93" s="43">
        <v>1103670</v>
      </c>
      <c r="D93" s="10" t="s">
        <v>138</v>
      </c>
      <c r="E93" s="10"/>
      <c r="F93" s="10">
        <v>1431</v>
      </c>
      <c r="G93" s="10" t="s">
        <v>259</v>
      </c>
      <c r="H93" s="10" t="s">
        <v>98</v>
      </c>
      <c r="I93" s="10" t="s">
        <v>240</v>
      </c>
      <c r="J93" s="10"/>
      <c r="K93" s="43">
        <v>2.88</v>
      </c>
      <c r="L93" s="10" t="s">
        <v>96</v>
      </c>
      <c r="M93" s="44">
        <v>4.0500000000000001E-2</v>
      </c>
      <c r="N93" s="12">
        <v>8.8000000000000005E-3</v>
      </c>
      <c r="O93" s="11">
        <v>148576.18</v>
      </c>
      <c r="P93" s="11">
        <v>132.52000000000001</v>
      </c>
      <c r="Q93" s="11">
        <v>196.89</v>
      </c>
      <c r="R93" s="12">
        <v>6.9999999999999999E-4</v>
      </c>
      <c r="S93" s="12">
        <v>2.9999999999999997E-4</v>
      </c>
      <c r="T93" s="12">
        <f>Q93/'סכום נכסי הקרן'!$C$42</f>
        <v>5.4143483129936488E-5</v>
      </c>
    </row>
    <row r="94" spans="2:20">
      <c r="B94" s="10" t="s">
        <v>305</v>
      </c>
      <c r="C94" s="43">
        <v>5660048</v>
      </c>
      <c r="D94" s="10" t="s">
        <v>138</v>
      </c>
      <c r="E94" s="10"/>
      <c r="F94" s="10">
        <v>566</v>
      </c>
      <c r="G94" s="10" t="s">
        <v>259</v>
      </c>
      <c r="H94" s="10" t="s">
        <v>98</v>
      </c>
      <c r="I94" s="10" t="s">
        <v>240</v>
      </c>
      <c r="J94" s="10"/>
      <c r="K94" s="43">
        <v>1.51</v>
      </c>
      <c r="L94" s="10" t="s">
        <v>96</v>
      </c>
      <c r="M94" s="44">
        <v>4.2799999999999998E-2</v>
      </c>
      <c r="N94" s="12">
        <v>8.8000000000000005E-3</v>
      </c>
      <c r="O94" s="11">
        <v>28199.439999999999</v>
      </c>
      <c r="P94" s="11">
        <v>127.54</v>
      </c>
      <c r="Q94" s="11">
        <v>35.97</v>
      </c>
      <c r="R94" s="12">
        <v>1E-4</v>
      </c>
      <c r="S94" s="12">
        <v>0</v>
      </c>
      <c r="T94" s="12">
        <f>Q94/'סכום נכסי הקרן'!$C$42</f>
        <v>9.8915185544406293E-6</v>
      </c>
    </row>
    <row r="95" spans="2:20">
      <c r="B95" s="10" t="s">
        <v>306</v>
      </c>
      <c r="C95" s="43">
        <v>1139542</v>
      </c>
      <c r="D95" s="10" t="s">
        <v>138</v>
      </c>
      <c r="E95" s="10"/>
      <c r="F95" s="10">
        <v>1363</v>
      </c>
      <c r="G95" s="10" t="s">
        <v>307</v>
      </c>
      <c r="H95" s="10" t="s">
        <v>98</v>
      </c>
      <c r="I95" s="10" t="s">
        <v>95</v>
      </c>
      <c r="J95" s="10"/>
      <c r="K95" s="43">
        <v>5.97</v>
      </c>
      <c r="L95" s="10" t="s">
        <v>96</v>
      </c>
      <c r="M95" s="44">
        <v>1.9400000000000001E-2</v>
      </c>
      <c r="N95" s="12">
        <v>1.84E-2</v>
      </c>
      <c r="O95" s="11">
        <v>6268000</v>
      </c>
      <c r="P95" s="11">
        <v>100.81</v>
      </c>
      <c r="Q95" s="11">
        <v>6318.77</v>
      </c>
      <c r="R95" s="12">
        <v>8.6999999999999994E-3</v>
      </c>
      <c r="S95" s="12">
        <v>8.2000000000000007E-3</v>
      </c>
      <c r="T95" s="12">
        <f>Q95/'סכום נכסי הקרן'!$C$42</f>
        <v>1.7376210924726944E-3</v>
      </c>
    </row>
    <row r="96" spans="2:20">
      <c r="B96" s="10" t="s">
        <v>308</v>
      </c>
      <c r="C96" s="43">
        <v>7670177</v>
      </c>
      <c r="D96" s="10" t="s">
        <v>138</v>
      </c>
      <c r="E96" s="10"/>
      <c r="F96" s="10">
        <v>767</v>
      </c>
      <c r="G96" s="10" t="s">
        <v>259</v>
      </c>
      <c r="H96" s="10" t="s">
        <v>98</v>
      </c>
      <c r="I96" s="10" t="s">
        <v>240</v>
      </c>
      <c r="J96" s="10"/>
      <c r="K96" s="43">
        <v>4.28</v>
      </c>
      <c r="L96" s="10" t="s">
        <v>96</v>
      </c>
      <c r="M96" s="44">
        <v>2.5499999999999998E-2</v>
      </c>
      <c r="N96" s="12">
        <v>1.4500000000000001E-2</v>
      </c>
      <c r="O96" s="11">
        <v>931600.12</v>
      </c>
      <c r="P96" s="11">
        <v>105.89</v>
      </c>
      <c r="Q96" s="11">
        <v>986.47</v>
      </c>
      <c r="R96" s="12">
        <v>1.8E-3</v>
      </c>
      <c r="S96" s="12">
        <v>1.2999999999999999E-3</v>
      </c>
      <c r="T96" s="12">
        <f>Q96/'סכום נכסי הקרן'!$C$42</f>
        <v>2.7127290265218371E-4</v>
      </c>
    </row>
    <row r="97" spans="2:20">
      <c r="B97" s="10" t="s">
        <v>309</v>
      </c>
      <c r="C97" s="43">
        <v>1106657</v>
      </c>
      <c r="D97" s="10" t="s">
        <v>138</v>
      </c>
      <c r="E97" s="10"/>
      <c r="F97" s="10">
        <v>1357</v>
      </c>
      <c r="G97" s="10" t="s">
        <v>239</v>
      </c>
      <c r="H97" s="10" t="s">
        <v>98</v>
      </c>
      <c r="I97" s="10" t="s">
        <v>95</v>
      </c>
      <c r="J97" s="10"/>
      <c r="K97" s="43">
        <v>0.57999999999999996</v>
      </c>
      <c r="L97" s="10" t="s">
        <v>96</v>
      </c>
      <c r="M97" s="44">
        <v>4.7E-2</v>
      </c>
      <c r="N97" s="12">
        <v>7.0000000000000001E-3</v>
      </c>
      <c r="O97" s="11">
        <v>183000.41</v>
      </c>
      <c r="P97" s="11">
        <v>124.15</v>
      </c>
      <c r="Q97" s="11">
        <v>227.2</v>
      </c>
      <c r="R97" s="12">
        <v>5.0000000000000001E-3</v>
      </c>
      <c r="S97" s="12">
        <v>2.9999999999999997E-4</v>
      </c>
      <c r="T97" s="12">
        <f>Q97/'סכום נכסי הקרן'!$C$42</f>
        <v>6.247853810311123E-5</v>
      </c>
    </row>
    <row r="98" spans="2:20">
      <c r="B98" s="10" t="s">
        <v>310</v>
      </c>
      <c r="C98" s="43">
        <v>1120021</v>
      </c>
      <c r="D98" s="10" t="s">
        <v>138</v>
      </c>
      <c r="E98" s="10"/>
      <c r="F98" s="10">
        <v>1357</v>
      </c>
      <c r="G98" s="10" t="s">
        <v>239</v>
      </c>
      <c r="H98" s="10" t="s">
        <v>98</v>
      </c>
      <c r="I98" s="10" t="s">
        <v>95</v>
      </c>
      <c r="J98" s="10"/>
      <c r="K98" s="43">
        <v>2.4300000000000002</v>
      </c>
      <c r="L98" s="10" t="s">
        <v>96</v>
      </c>
      <c r="M98" s="44">
        <v>3.9E-2</v>
      </c>
      <c r="N98" s="12">
        <v>1.09E-2</v>
      </c>
      <c r="O98" s="11">
        <v>4824573.57</v>
      </c>
      <c r="P98" s="11">
        <v>114.92</v>
      </c>
      <c r="Q98" s="11">
        <v>5544.4</v>
      </c>
      <c r="R98" s="12">
        <v>1.12E-2</v>
      </c>
      <c r="S98" s="12">
        <v>7.1999999999999998E-3</v>
      </c>
      <c r="T98" s="12">
        <f>Q98/'סכום נכסי הקרן'!$C$42</f>
        <v>1.5246743250831422E-3</v>
      </c>
    </row>
    <row r="99" spans="2:20">
      <c r="B99" s="10" t="s">
        <v>311</v>
      </c>
      <c r="C99" s="43">
        <v>1124080</v>
      </c>
      <c r="D99" s="10" t="s">
        <v>138</v>
      </c>
      <c r="E99" s="10"/>
      <c r="F99" s="10">
        <v>1239</v>
      </c>
      <c r="G99" s="10" t="s">
        <v>220</v>
      </c>
      <c r="H99" s="10" t="s">
        <v>181</v>
      </c>
      <c r="I99" s="10" t="s">
        <v>240</v>
      </c>
      <c r="J99" s="10"/>
      <c r="K99" s="43">
        <v>3.3</v>
      </c>
      <c r="L99" s="10" t="s">
        <v>96</v>
      </c>
      <c r="M99" s="44">
        <v>4.1500000000000002E-2</v>
      </c>
      <c r="N99" s="12">
        <v>9.7000000000000003E-3</v>
      </c>
      <c r="O99" s="11">
        <v>881750</v>
      </c>
      <c r="P99" s="11">
        <v>115.68</v>
      </c>
      <c r="Q99" s="11">
        <v>1020.01</v>
      </c>
      <c r="R99" s="12">
        <v>2.8999999999999998E-3</v>
      </c>
      <c r="S99" s="12">
        <v>1.2999999999999999E-3</v>
      </c>
      <c r="T99" s="12">
        <f>Q99/'סכום נכסי הקרן'!$C$42</f>
        <v>2.8049618684222928E-4</v>
      </c>
    </row>
    <row r="100" spans="2:20">
      <c r="B100" s="10" t="s">
        <v>312</v>
      </c>
      <c r="C100" s="43">
        <v>1101005</v>
      </c>
      <c r="D100" s="10" t="s">
        <v>138</v>
      </c>
      <c r="E100" s="10"/>
      <c r="F100" s="10">
        <v>1239</v>
      </c>
      <c r="G100" s="10" t="s">
        <v>220</v>
      </c>
      <c r="H100" s="10" t="s">
        <v>181</v>
      </c>
      <c r="I100" s="10" t="s">
        <v>240</v>
      </c>
      <c r="J100" s="10"/>
      <c r="K100" s="43">
        <v>7.0000000000000007E-2</v>
      </c>
      <c r="L100" s="10" t="s">
        <v>96</v>
      </c>
      <c r="M100" s="44">
        <v>4.2999999999999997E-2</v>
      </c>
      <c r="N100" s="12">
        <v>3.1899999999999998E-2</v>
      </c>
      <c r="O100" s="11">
        <v>204020.72</v>
      </c>
      <c r="P100" s="11">
        <v>121.69</v>
      </c>
      <c r="Q100" s="11">
        <v>248.27</v>
      </c>
      <c r="R100" s="12">
        <v>2E-3</v>
      </c>
      <c r="S100" s="12">
        <v>2.9999999999999997E-4</v>
      </c>
      <c r="T100" s="12">
        <f>Q100/'סכום נכסי הקרן'!$C$42</f>
        <v>6.8272652530191135E-5</v>
      </c>
    </row>
    <row r="101" spans="2:20">
      <c r="B101" s="10" t="s">
        <v>313</v>
      </c>
      <c r="C101" s="43">
        <v>7390131</v>
      </c>
      <c r="D101" s="10" t="s">
        <v>138</v>
      </c>
      <c r="E101" s="10"/>
      <c r="F101" s="10">
        <v>739</v>
      </c>
      <c r="G101" s="10" t="s">
        <v>307</v>
      </c>
      <c r="H101" s="10" t="s">
        <v>181</v>
      </c>
      <c r="I101" s="10" t="s">
        <v>240</v>
      </c>
      <c r="J101" s="10"/>
      <c r="K101" s="43">
        <v>2.23</v>
      </c>
      <c r="L101" s="10" t="s">
        <v>96</v>
      </c>
      <c r="M101" s="44">
        <v>4.7E-2</v>
      </c>
      <c r="N101" s="12">
        <v>1.12E-2</v>
      </c>
      <c r="O101" s="11">
        <v>52042.87</v>
      </c>
      <c r="P101" s="11">
        <v>130.41999999999999</v>
      </c>
      <c r="Q101" s="11">
        <v>67.87</v>
      </c>
      <c r="R101" s="12">
        <v>2.0000000000000001E-4</v>
      </c>
      <c r="S101" s="12">
        <v>1E-4</v>
      </c>
      <c r="T101" s="12">
        <f>Q101/'סכום נכסי הקרן'!$C$42</f>
        <v>1.8663813296910914E-5</v>
      </c>
    </row>
    <row r="102" spans="2:20">
      <c r="B102" s="10" t="s">
        <v>314</v>
      </c>
      <c r="C102" s="43">
        <v>1138924</v>
      </c>
      <c r="D102" s="10" t="s">
        <v>138</v>
      </c>
      <c r="E102" s="10"/>
      <c r="F102" s="10">
        <v>1327</v>
      </c>
      <c r="G102" s="10" t="s">
        <v>239</v>
      </c>
      <c r="H102" s="10" t="s">
        <v>181</v>
      </c>
      <c r="I102" s="10" t="s">
        <v>240</v>
      </c>
      <c r="J102" s="10"/>
      <c r="K102" s="43">
        <v>6.61</v>
      </c>
      <c r="L102" s="10" t="s">
        <v>96</v>
      </c>
      <c r="M102" s="44">
        <v>1.34E-2</v>
      </c>
      <c r="N102" s="12">
        <v>1.9E-2</v>
      </c>
      <c r="O102" s="11">
        <v>11412000</v>
      </c>
      <c r="P102" s="11">
        <v>96.69</v>
      </c>
      <c r="Q102" s="11">
        <v>11034.26</v>
      </c>
      <c r="R102" s="12">
        <v>0.03</v>
      </c>
      <c r="S102" s="12">
        <v>1.43E-2</v>
      </c>
      <c r="T102" s="12">
        <f>Q102/'סכום נכסי הקרן'!$C$42</f>
        <v>3.0343505010987505E-3</v>
      </c>
    </row>
    <row r="103" spans="2:20">
      <c r="B103" s="10" t="s">
        <v>315</v>
      </c>
      <c r="C103" s="43">
        <v>1118033</v>
      </c>
      <c r="D103" s="10" t="s">
        <v>138</v>
      </c>
      <c r="E103" s="10"/>
      <c r="F103" s="10">
        <v>1327</v>
      </c>
      <c r="G103" s="10" t="s">
        <v>239</v>
      </c>
      <c r="H103" s="10" t="s">
        <v>181</v>
      </c>
      <c r="I103" s="10" t="s">
        <v>240</v>
      </c>
      <c r="J103" s="10"/>
      <c r="K103" s="43">
        <v>2.75</v>
      </c>
      <c r="L103" s="10" t="s">
        <v>96</v>
      </c>
      <c r="M103" s="44">
        <v>3.7699999999999997E-2</v>
      </c>
      <c r="N103" s="12">
        <v>1.09E-2</v>
      </c>
      <c r="O103" s="11">
        <v>1213655.6499999999</v>
      </c>
      <c r="P103" s="11">
        <v>115.74</v>
      </c>
      <c r="Q103" s="11">
        <f>1404-37.1169</f>
        <v>1366.8831</v>
      </c>
      <c r="R103" s="12">
        <v>3.2000000000000002E-3</v>
      </c>
      <c r="S103" s="12">
        <v>1.8E-3</v>
      </c>
      <c r="T103" s="12">
        <f>Q103/'סכום נכסי הקרן'!$C$42</f>
        <v>3.7588405742010914E-4</v>
      </c>
    </row>
    <row r="104" spans="2:20">
      <c r="B104" s="10" t="s">
        <v>316</v>
      </c>
      <c r="C104" s="43">
        <v>1129279</v>
      </c>
      <c r="D104" s="10" t="s">
        <v>138</v>
      </c>
      <c r="E104" s="10"/>
      <c r="F104" s="10">
        <v>1327</v>
      </c>
      <c r="G104" s="10" t="s">
        <v>239</v>
      </c>
      <c r="H104" s="10" t="s">
        <v>181</v>
      </c>
      <c r="I104" s="10" t="s">
        <v>240</v>
      </c>
      <c r="J104" s="10"/>
      <c r="K104" s="43">
        <v>4.13</v>
      </c>
      <c r="L104" s="10" t="s">
        <v>96</v>
      </c>
      <c r="M104" s="44">
        <v>2.8500000000000001E-2</v>
      </c>
      <c r="N104" s="12">
        <v>1.7399999999999999E-2</v>
      </c>
      <c r="O104" s="11">
        <v>-0.02</v>
      </c>
      <c r="P104" s="11">
        <v>105.81</v>
      </c>
      <c r="Q104" s="11">
        <v>0</v>
      </c>
      <c r="R104" s="12">
        <v>0</v>
      </c>
      <c r="S104" s="12">
        <v>0</v>
      </c>
      <c r="T104" s="12">
        <f>Q104/'סכום נכסי הקרן'!$C$42</f>
        <v>0</v>
      </c>
    </row>
    <row r="105" spans="2:20">
      <c r="B105" s="10" t="s">
        <v>317</v>
      </c>
      <c r="C105" s="43">
        <v>1123256</v>
      </c>
      <c r="D105" s="10" t="s">
        <v>138</v>
      </c>
      <c r="E105" s="10"/>
      <c r="F105" s="10">
        <v>510</v>
      </c>
      <c r="G105" s="10" t="s">
        <v>247</v>
      </c>
      <c r="H105" s="10" t="s">
        <v>181</v>
      </c>
      <c r="I105" s="10" t="s">
        <v>240</v>
      </c>
      <c r="J105" s="10"/>
      <c r="K105" s="43">
        <v>1.51</v>
      </c>
      <c r="L105" s="10" t="s">
        <v>96</v>
      </c>
      <c r="M105" s="44">
        <v>3.9E-2</v>
      </c>
      <c r="N105" s="12">
        <v>1.29E-2</v>
      </c>
      <c r="O105" s="11">
        <v>392235.35</v>
      </c>
      <c r="P105" s="11">
        <v>108.89</v>
      </c>
      <c r="Q105" s="11">
        <v>427.11</v>
      </c>
      <c r="R105" s="12">
        <v>8.0000000000000004E-4</v>
      </c>
      <c r="S105" s="12">
        <v>5.9999999999999995E-4</v>
      </c>
      <c r="T105" s="12">
        <f>Q105/'סכום נכסי הקרן'!$C$42</f>
        <v>1.1745250180114366E-4</v>
      </c>
    </row>
    <row r="106" spans="2:20">
      <c r="B106" s="10" t="s">
        <v>318</v>
      </c>
      <c r="C106" s="43">
        <v>1096510</v>
      </c>
      <c r="D106" s="10" t="s">
        <v>138</v>
      </c>
      <c r="E106" s="10"/>
      <c r="F106" s="10">
        <v>1248</v>
      </c>
      <c r="G106" s="10" t="s">
        <v>220</v>
      </c>
      <c r="H106" s="10" t="s">
        <v>181</v>
      </c>
      <c r="I106" s="10" t="s">
        <v>95</v>
      </c>
      <c r="J106" s="10"/>
      <c r="K106" s="43">
        <v>0.17</v>
      </c>
      <c r="L106" s="10" t="s">
        <v>96</v>
      </c>
      <c r="M106" s="44">
        <v>4.8000000000000001E-2</v>
      </c>
      <c r="N106" s="12">
        <v>4.3200000000000002E-2</v>
      </c>
      <c r="O106" s="11">
        <v>291472.42</v>
      </c>
      <c r="P106" s="11">
        <v>124.45</v>
      </c>
      <c r="Q106" s="11">
        <v>362.74</v>
      </c>
      <c r="R106" s="12">
        <v>6.4000000000000003E-3</v>
      </c>
      <c r="S106" s="12">
        <v>5.0000000000000001E-4</v>
      </c>
      <c r="T106" s="12">
        <f>Q106/'סכום נכסי הקרן'!$C$42</f>
        <v>9.9751165983814124E-5</v>
      </c>
    </row>
    <row r="107" spans="2:20">
      <c r="B107" s="10" t="s">
        <v>319</v>
      </c>
      <c r="C107" s="43">
        <v>1121763</v>
      </c>
      <c r="D107" s="10" t="s">
        <v>138</v>
      </c>
      <c r="E107" s="10"/>
      <c r="F107" s="10">
        <v>1064</v>
      </c>
      <c r="G107" s="10" t="s">
        <v>320</v>
      </c>
      <c r="H107" s="10" t="s">
        <v>181</v>
      </c>
      <c r="I107" s="10" t="s">
        <v>240</v>
      </c>
      <c r="J107" s="10"/>
      <c r="K107" s="43">
        <v>4.58</v>
      </c>
      <c r="L107" s="10" t="s">
        <v>96</v>
      </c>
      <c r="M107" s="44">
        <v>3.95E-2</v>
      </c>
      <c r="N107" s="12">
        <v>1.5800000000000002E-2</v>
      </c>
      <c r="O107" s="11">
        <v>138462.97</v>
      </c>
      <c r="P107" s="11">
        <v>116.53</v>
      </c>
      <c r="Q107" s="11">
        <v>161.35</v>
      </c>
      <c r="R107" s="12">
        <v>2.9999999999999997E-4</v>
      </c>
      <c r="S107" s="12">
        <v>2.0000000000000001E-4</v>
      </c>
      <c r="T107" s="12">
        <f>Q107/'סכום נכסי הקרן'!$C$42</f>
        <v>4.437021180870157E-5</v>
      </c>
    </row>
    <row r="108" spans="2:20">
      <c r="B108" s="10" t="s">
        <v>321</v>
      </c>
      <c r="C108" s="43">
        <v>7230352</v>
      </c>
      <c r="D108" s="10" t="s">
        <v>138</v>
      </c>
      <c r="E108" s="10"/>
      <c r="F108" s="10">
        <v>723</v>
      </c>
      <c r="G108" s="10" t="s">
        <v>239</v>
      </c>
      <c r="H108" s="10" t="s">
        <v>181</v>
      </c>
      <c r="I108" s="10" t="s">
        <v>95</v>
      </c>
      <c r="J108" s="10"/>
      <c r="K108" s="43">
        <v>6</v>
      </c>
      <c r="L108" s="10" t="s">
        <v>96</v>
      </c>
      <c r="M108" s="44">
        <v>0.03</v>
      </c>
      <c r="N108" s="12">
        <v>3.5499999999999997E-2</v>
      </c>
      <c r="O108" s="11">
        <v>100000</v>
      </c>
      <c r="P108" s="11">
        <v>97.79</v>
      </c>
      <c r="Q108" s="11">
        <v>97.79</v>
      </c>
      <c r="R108" s="12">
        <v>6.9999999999999999E-4</v>
      </c>
      <c r="S108" s="12">
        <v>1E-4</v>
      </c>
      <c r="T108" s="12">
        <f>Q108/'סכום נכסי הקרן'!$C$42</f>
        <v>2.689162077950373E-5</v>
      </c>
    </row>
    <row r="109" spans="2:20">
      <c r="B109" s="10" t="s">
        <v>322</v>
      </c>
      <c r="C109" s="43">
        <v>7230279</v>
      </c>
      <c r="D109" s="10" t="s">
        <v>138</v>
      </c>
      <c r="E109" s="10"/>
      <c r="F109" s="10">
        <v>723</v>
      </c>
      <c r="G109" s="10" t="s">
        <v>239</v>
      </c>
      <c r="H109" s="10" t="s">
        <v>181</v>
      </c>
      <c r="I109" s="10" t="s">
        <v>95</v>
      </c>
      <c r="J109" s="10"/>
      <c r="K109" s="7"/>
      <c r="L109" s="10" t="s">
        <v>96</v>
      </c>
      <c r="M109" s="44">
        <v>4.9500000000000002E-2</v>
      </c>
      <c r="N109" s="7"/>
      <c r="O109" s="11">
        <v>0.21</v>
      </c>
      <c r="P109" s="11">
        <v>124.8</v>
      </c>
      <c r="Q109" s="11">
        <v>0</v>
      </c>
      <c r="R109" s="12">
        <v>0</v>
      </c>
      <c r="S109" s="12">
        <v>0</v>
      </c>
      <c r="T109" s="12">
        <f>Q109/'סכום נכסי הקרן'!$C$42</f>
        <v>0</v>
      </c>
    </row>
    <row r="110" spans="2:20">
      <c r="B110" s="10" t="s">
        <v>323</v>
      </c>
      <c r="C110" s="43">
        <v>6990188</v>
      </c>
      <c r="D110" s="10" t="s">
        <v>138</v>
      </c>
      <c r="E110" s="10"/>
      <c r="F110" s="10">
        <v>699</v>
      </c>
      <c r="G110" s="10" t="s">
        <v>239</v>
      </c>
      <c r="H110" s="10" t="s">
        <v>181</v>
      </c>
      <c r="I110" s="10" t="s">
        <v>240</v>
      </c>
      <c r="J110" s="10"/>
      <c r="K110" s="43">
        <v>3.73</v>
      </c>
      <c r="L110" s="10" t="s">
        <v>96</v>
      </c>
      <c r="M110" s="44">
        <v>4.9500000000000002E-2</v>
      </c>
      <c r="N110" s="12">
        <v>1.78E-2</v>
      </c>
      <c r="O110" s="11">
        <v>2204618.31</v>
      </c>
      <c r="P110" s="11">
        <v>112.76</v>
      </c>
      <c r="Q110" s="11">
        <v>2485.9299999999998</v>
      </c>
      <c r="R110" s="12">
        <v>2.5000000000000001E-3</v>
      </c>
      <c r="S110" s="12">
        <v>3.2000000000000002E-3</v>
      </c>
      <c r="T110" s="12">
        <f>Q110/'סכום נכסי הקרן'!$C$42</f>
        <v>6.8361475451878212E-4</v>
      </c>
    </row>
    <row r="111" spans="2:20">
      <c r="B111" s="10" t="s">
        <v>324</v>
      </c>
      <c r="C111" s="43">
        <v>6990204</v>
      </c>
      <c r="D111" s="10" t="s">
        <v>138</v>
      </c>
      <c r="E111" s="10"/>
      <c r="F111" s="10">
        <v>699</v>
      </c>
      <c r="G111" s="10" t="s">
        <v>239</v>
      </c>
      <c r="H111" s="10" t="s">
        <v>181</v>
      </c>
      <c r="I111" s="10" t="s">
        <v>240</v>
      </c>
      <c r="J111" s="10"/>
      <c r="K111" s="43">
        <v>6.61</v>
      </c>
      <c r="L111" s="10" t="s">
        <v>96</v>
      </c>
      <c r="M111" s="44">
        <v>2.8500000000000001E-2</v>
      </c>
      <c r="N111" s="12">
        <v>2.9100000000000001E-2</v>
      </c>
      <c r="O111" s="11">
        <v>4214525.34</v>
      </c>
      <c r="P111" s="11">
        <v>99.72</v>
      </c>
      <c r="Q111" s="11">
        <v>4202.72</v>
      </c>
      <c r="R111" s="12">
        <v>4.1200000000000001E-2</v>
      </c>
      <c r="S111" s="12">
        <v>5.4999999999999997E-3</v>
      </c>
      <c r="T111" s="12">
        <f>Q111/'סכום נכסי הקרן'!$C$42</f>
        <v>1.1557209579960725E-3</v>
      </c>
    </row>
    <row r="112" spans="2:20">
      <c r="B112" s="10" t="s">
        <v>325</v>
      </c>
      <c r="C112" s="43">
        <v>1096270</v>
      </c>
      <c r="D112" s="10" t="s">
        <v>138</v>
      </c>
      <c r="E112" s="10"/>
      <c r="F112" s="10">
        <v>2066</v>
      </c>
      <c r="G112" s="10" t="s">
        <v>247</v>
      </c>
      <c r="H112" s="10" t="s">
        <v>181</v>
      </c>
      <c r="I112" s="10" t="s">
        <v>95</v>
      </c>
      <c r="J112" s="10"/>
      <c r="K112" s="7"/>
      <c r="L112" s="10" t="s">
        <v>96</v>
      </c>
      <c r="M112" s="44">
        <v>5.2999999999999999E-2</v>
      </c>
      <c r="N112" s="12">
        <v>-0.60740000000000005</v>
      </c>
      <c r="O112" s="11">
        <v>154868.10999999999</v>
      </c>
      <c r="P112" s="11">
        <v>125.3</v>
      </c>
      <c r="Q112" s="11">
        <v>194.05</v>
      </c>
      <c r="R112" s="12">
        <v>8.0000000000000004E-4</v>
      </c>
      <c r="S112" s="12">
        <v>2.9999999999999997E-4</v>
      </c>
      <c r="T112" s="12">
        <f>Q112/'סכום נכסי הקרן'!$C$42</f>
        <v>5.33625014036476E-5</v>
      </c>
    </row>
    <row r="113" spans="2:20">
      <c r="B113" s="10" t="s">
        <v>326</v>
      </c>
      <c r="C113" s="43">
        <v>1107333</v>
      </c>
      <c r="D113" s="10" t="s">
        <v>138</v>
      </c>
      <c r="E113" s="10"/>
      <c r="F113" s="10">
        <v>2066</v>
      </c>
      <c r="G113" s="10" t="s">
        <v>247</v>
      </c>
      <c r="H113" s="10" t="s">
        <v>181</v>
      </c>
      <c r="I113" s="10" t="s">
        <v>95</v>
      </c>
      <c r="J113" s="10"/>
      <c r="K113" s="43">
        <v>0.51</v>
      </c>
      <c r="L113" s="10" t="s">
        <v>96</v>
      </c>
      <c r="M113" s="44">
        <v>5.1900000000000002E-2</v>
      </c>
      <c r="N113" s="12">
        <v>1.55E-2</v>
      </c>
      <c r="O113" s="11">
        <v>201001.8</v>
      </c>
      <c r="P113" s="11">
        <v>121.21</v>
      </c>
      <c r="Q113" s="11">
        <v>243.63</v>
      </c>
      <c r="R113" s="12">
        <v>6.9999999999999999E-4</v>
      </c>
      <c r="S113" s="12">
        <v>2.9999999999999997E-4</v>
      </c>
      <c r="T113" s="12">
        <f>Q113/'סכום נכסי הקרן'!$C$42</f>
        <v>6.6996682385831821E-5</v>
      </c>
    </row>
    <row r="114" spans="2:20">
      <c r="B114" s="10" t="s">
        <v>327</v>
      </c>
      <c r="C114" s="43">
        <v>1132828</v>
      </c>
      <c r="D114" s="10" t="s">
        <v>138</v>
      </c>
      <c r="E114" s="10"/>
      <c r="F114" s="10">
        <v>2066</v>
      </c>
      <c r="G114" s="10" t="s">
        <v>247</v>
      </c>
      <c r="H114" s="10" t="s">
        <v>181</v>
      </c>
      <c r="I114" s="10" t="s">
        <v>95</v>
      </c>
      <c r="J114" s="10"/>
      <c r="K114" s="43">
        <v>4.53</v>
      </c>
      <c r="L114" s="10" t="s">
        <v>96</v>
      </c>
      <c r="M114" s="44">
        <v>1.9800000000000002E-2</v>
      </c>
      <c r="N114" s="12">
        <v>1.9800000000000002E-2</v>
      </c>
      <c r="O114" s="11">
        <v>3695925.81</v>
      </c>
      <c r="P114" s="11">
        <v>100.02</v>
      </c>
      <c r="Q114" s="11">
        <v>3696.66</v>
      </c>
      <c r="R114" s="12">
        <v>3.8999999999999998E-3</v>
      </c>
      <c r="S114" s="12">
        <v>4.7999999999999996E-3</v>
      </c>
      <c r="T114" s="12">
        <f>Q114/'סכום נכסי הקרן'!$C$42</f>
        <v>1.0165577141912287E-3</v>
      </c>
    </row>
    <row r="115" spans="2:20">
      <c r="B115" s="10" t="s">
        <v>328</v>
      </c>
      <c r="C115" s="43">
        <v>1118827</v>
      </c>
      <c r="D115" s="10" t="s">
        <v>138</v>
      </c>
      <c r="E115" s="10"/>
      <c r="F115" s="10">
        <v>2095</v>
      </c>
      <c r="G115" s="10" t="s">
        <v>247</v>
      </c>
      <c r="H115" s="10" t="s">
        <v>181</v>
      </c>
      <c r="I115" s="10" t="s">
        <v>95</v>
      </c>
      <c r="J115" s="10"/>
      <c r="K115" s="43">
        <v>1.48</v>
      </c>
      <c r="L115" s="10" t="s">
        <v>96</v>
      </c>
      <c r="M115" s="44">
        <v>3.3500000000000002E-2</v>
      </c>
      <c r="N115" s="12">
        <v>8.5000000000000006E-3</v>
      </c>
      <c r="O115" s="11">
        <v>1531446.67</v>
      </c>
      <c r="P115" s="11">
        <v>111.96</v>
      </c>
      <c r="Q115" s="11">
        <f>1714.61-265.31</f>
        <v>1449.3</v>
      </c>
      <c r="R115" s="12">
        <v>3.8999999999999998E-3</v>
      </c>
      <c r="S115" s="12">
        <v>2.2000000000000001E-3</v>
      </c>
      <c r="T115" s="12">
        <f>Q115/'סכום נכסי הקרן'!$C$42</f>
        <v>3.985481746163693E-4</v>
      </c>
    </row>
    <row r="116" spans="2:20">
      <c r="B116" s="10" t="s">
        <v>329</v>
      </c>
      <c r="C116" s="43">
        <v>7770191</v>
      </c>
      <c r="D116" s="10" t="s">
        <v>138</v>
      </c>
      <c r="E116" s="10"/>
      <c r="F116" s="10">
        <v>777</v>
      </c>
      <c r="G116" s="10" t="s">
        <v>330</v>
      </c>
      <c r="H116" s="10" t="s">
        <v>181</v>
      </c>
      <c r="I116" s="10" t="s">
        <v>95</v>
      </c>
      <c r="J116" s="10"/>
      <c r="K116" s="43">
        <v>6.08</v>
      </c>
      <c r="L116" s="10" t="s">
        <v>96</v>
      </c>
      <c r="M116" s="44">
        <v>2.9899999999999999E-2</v>
      </c>
      <c r="N116" s="12">
        <v>2.5600000000000001E-2</v>
      </c>
      <c r="O116" s="11">
        <v>812500.11</v>
      </c>
      <c r="P116" s="11">
        <v>103.26</v>
      </c>
      <c r="Q116" s="11">
        <v>838.99</v>
      </c>
      <c r="R116" s="12">
        <v>2.0999999999999999E-3</v>
      </c>
      <c r="S116" s="12">
        <v>1.1000000000000001E-3</v>
      </c>
      <c r="T116" s="12">
        <f>Q116/'סכום נכסי הקרן'!$C$42</f>
        <v>2.3071685159828034E-4</v>
      </c>
    </row>
    <row r="117" spans="2:20">
      <c r="B117" s="10" t="s">
        <v>331</v>
      </c>
      <c r="C117" s="43">
        <v>7770142</v>
      </c>
      <c r="D117" s="10" t="s">
        <v>138</v>
      </c>
      <c r="E117" s="10"/>
      <c r="F117" s="10">
        <v>777</v>
      </c>
      <c r="G117" s="10" t="s">
        <v>330</v>
      </c>
      <c r="H117" s="10" t="s">
        <v>181</v>
      </c>
      <c r="I117" s="10" t="s">
        <v>95</v>
      </c>
      <c r="J117" s="10"/>
      <c r="K117" s="43">
        <v>1.21</v>
      </c>
      <c r="L117" s="10" t="s">
        <v>96</v>
      </c>
      <c r="M117" s="44">
        <v>5.1999999999999998E-2</v>
      </c>
      <c r="N117" s="12">
        <v>9.1000000000000004E-3</v>
      </c>
      <c r="O117" s="11">
        <v>0.6</v>
      </c>
      <c r="P117" s="11">
        <v>133.86000000000001</v>
      </c>
      <c r="Q117" s="11">
        <v>0</v>
      </c>
      <c r="R117" s="12">
        <v>0</v>
      </c>
      <c r="S117" s="12">
        <v>0</v>
      </c>
      <c r="T117" s="12">
        <f>Q117/'סכום נכסי הקרן'!$C$42</f>
        <v>0</v>
      </c>
    </row>
    <row r="118" spans="2:20">
      <c r="B118" s="10" t="s">
        <v>332</v>
      </c>
      <c r="C118" s="43">
        <v>5050240</v>
      </c>
      <c r="D118" s="10" t="s">
        <v>138</v>
      </c>
      <c r="E118" s="10"/>
      <c r="F118" s="10">
        <v>505</v>
      </c>
      <c r="G118" s="10" t="s">
        <v>239</v>
      </c>
      <c r="H118" s="10" t="s">
        <v>333</v>
      </c>
      <c r="I118" s="10" t="s">
        <v>95</v>
      </c>
      <c r="J118" s="10"/>
      <c r="K118" s="43">
        <v>4.5999999999999996</v>
      </c>
      <c r="L118" s="10" t="s">
        <v>96</v>
      </c>
      <c r="M118" s="44">
        <v>4.0500000000000001E-2</v>
      </c>
      <c r="N118" s="12">
        <v>2.5499999999999998E-2</v>
      </c>
      <c r="O118" s="11">
        <v>2.04</v>
      </c>
      <c r="P118" s="11">
        <v>107.07</v>
      </c>
      <c r="Q118" s="11">
        <v>0</v>
      </c>
      <c r="R118" s="12">
        <v>0</v>
      </c>
      <c r="S118" s="12">
        <v>0</v>
      </c>
      <c r="T118" s="12">
        <f>Q118/'סכום נכסי הקרן'!$C$42</f>
        <v>0</v>
      </c>
    </row>
    <row r="119" spans="2:20">
      <c r="B119" s="10" t="s">
        <v>334</v>
      </c>
      <c r="C119" s="43">
        <v>3870094</v>
      </c>
      <c r="D119" s="10" t="s">
        <v>138</v>
      </c>
      <c r="E119" s="10"/>
      <c r="F119" s="10">
        <v>387</v>
      </c>
      <c r="G119" s="10" t="s">
        <v>239</v>
      </c>
      <c r="H119" s="10" t="s">
        <v>333</v>
      </c>
      <c r="I119" s="10" t="s">
        <v>240</v>
      </c>
      <c r="J119" s="10"/>
      <c r="K119" s="43">
        <v>1.98</v>
      </c>
      <c r="L119" s="10" t="s">
        <v>96</v>
      </c>
      <c r="M119" s="44">
        <v>4.8000000000000001E-2</v>
      </c>
      <c r="N119" s="12">
        <v>1.7299999999999999E-2</v>
      </c>
      <c r="O119" s="11">
        <v>1485073.66</v>
      </c>
      <c r="P119" s="11">
        <v>109.38</v>
      </c>
      <c r="Q119" s="11">
        <v>1624.37</v>
      </c>
      <c r="R119" s="12">
        <v>3.5000000000000001E-3</v>
      </c>
      <c r="S119" s="12">
        <v>2.0999999999999999E-3</v>
      </c>
      <c r="T119" s="12">
        <f>Q119/'סכום נכסי הקרן'!$C$42</f>
        <v>4.4669129814502986E-4</v>
      </c>
    </row>
    <row r="120" spans="2:20">
      <c r="B120" s="10" t="s">
        <v>335</v>
      </c>
      <c r="C120" s="43">
        <v>3870102</v>
      </c>
      <c r="D120" s="10" t="s">
        <v>138</v>
      </c>
      <c r="E120" s="10"/>
      <c r="F120" s="10">
        <v>387</v>
      </c>
      <c r="G120" s="10" t="s">
        <v>239</v>
      </c>
      <c r="H120" s="10" t="s">
        <v>333</v>
      </c>
      <c r="I120" s="10" t="s">
        <v>240</v>
      </c>
      <c r="J120" s="10"/>
      <c r="K120" s="43">
        <v>3.21</v>
      </c>
      <c r="L120" s="10" t="s">
        <v>96</v>
      </c>
      <c r="M120" s="44">
        <v>1.8499999999999999E-2</v>
      </c>
      <c r="N120" s="12">
        <v>2.24E-2</v>
      </c>
      <c r="O120" s="11">
        <v>258550</v>
      </c>
      <c r="P120" s="11">
        <v>98.96</v>
      </c>
      <c r="Q120" s="11">
        <v>255.86</v>
      </c>
      <c r="R120" s="12">
        <v>1.2999999999999999E-3</v>
      </c>
      <c r="S120" s="12">
        <v>2.9999999999999997E-4</v>
      </c>
      <c r="T120" s="12">
        <f>Q120/'סכום נכסי הקרן'!$C$42</f>
        <v>7.035985369305476E-5</v>
      </c>
    </row>
    <row r="121" spans="2:20">
      <c r="B121" s="10" t="s">
        <v>336</v>
      </c>
      <c r="C121" s="43">
        <v>2510139</v>
      </c>
      <c r="D121" s="10" t="s">
        <v>138</v>
      </c>
      <c r="E121" s="10"/>
      <c r="F121" s="10">
        <v>251</v>
      </c>
      <c r="G121" s="10" t="s">
        <v>239</v>
      </c>
      <c r="H121" s="10" t="s">
        <v>333</v>
      </c>
      <c r="I121" s="10" t="s">
        <v>95</v>
      </c>
      <c r="J121" s="10"/>
      <c r="K121" s="43">
        <v>2.42</v>
      </c>
      <c r="L121" s="10" t="s">
        <v>96</v>
      </c>
      <c r="M121" s="44">
        <v>4.2500000000000003E-2</v>
      </c>
      <c r="N121" s="12">
        <v>1.14E-2</v>
      </c>
      <c r="O121" s="11">
        <v>-0.21</v>
      </c>
      <c r="P121" s="11">
        <v>114.43</v>
      </c>
      <c r="Q121" s="11">
        <v>0</v>
      </c>
      <c r="R121" s="12">
        <v>0</v>
      </c>
      <c r="S121" s="12">
        <v>0</v>
      </c>
      <c r="T121" s="12">
        <f>Q121/'סכום נכסי הקרן'!$C$42</f>
        <v>0</v>
      </c>
    </row>
    <row r="122" spans="2:20">
      <c r="B122" s="10" t="s">
        <v>337</v>
      </c>
      <c r="C122" s="43">
        <v>2510162</v>
      </c>
      <c r="D122" s="10" t="s">
        <v>138</v>
      </c>
      <c r="E122" s="10"/>
      <c r="F122" s="10">
        <v>251</v>
      </c>
      <c r="G122" s="10" t="s">
        <v>239</v>
      </c>
      <c r="H122" s="10" t="s">
        <v>333</v>
      </c>
      <c r="I122" s="10" t="s">
        <v>95</v>
      </c>
      <c r="J122" s="10"/>
      <c r="K122" s="43">
        <v>3</v>
      </c>
      <c r="L122" s="10" t="s">
        <v>96</v>
      </c>
      <c r="M122" s="44">
        <v>4.5999999999999999E-2</v>
      </c>
      <c r="N122" s="12">
        <v>1.6899999999999998E-2</v>
      </c>
      <c r="O122" s="11">
        <v>312923.09999999998</v>
      </c>
      <c r="P122" s="11">
        <v>109.4</v>
      </c>
      <c r="Q122" s="11">
        <v>342.34</v>
      </c>
      <c r="R122" s="12">
        <v>6.9999999999999999E-4</v>
      </c>
      <c r="S122" s="12">
        <v>4.0000000000000002E-4</v>
      </c>
      <c r="T122" s="12">
        <f>Q122/'סכום נכסי הקרן'!$C$42</f>
        <v>9.414129724568265E-5</v>
      </c>
    </row>
    <row r="123" spans="2:20">
      <c r="B123" s="10" t="s">
        <v>338</v>
      </c>
      <c r="C123" s="43">
        <v>1132323</v>
      </c>
      <c r="D123" s="10" t="s">
        <v>138</v>
      </c>
      <c r="E123" s="10"/>
      <c r="F123" s="10">
        <v>1618</v>
      </c>
      <c r="G123" s="10" t="s">
        <v>239</v>
      </c>
      <c r="H123" s="10" t="s">
        <v>333</v>
      </c>
      <c r="I123" s="10" t="s">
        <v>95</v>
      </c>
      <c r="J123" s="10"/>
      <c r="K123" s="43">
        <v>4.3</v>
      </c>
      <c r="L123" s="10" t="s">
        <v>96</v>
      </c>
      <c r="M123" s="44">
        <v>2.4E-2</v>
      </c>
      <c r="N123" s="12">
        <v>2.5600000000000001E-2</v>
      </c>
      <c r="O123" s="11">
        <v>3442000</v>
      </c>
      <c r="P123" s="11">
        <v>99.72</v>
      </c>
      <c r="Q123" s="11">
        <v>3432.36</v>
      </c>
      <c r="R123" s="12">
        <v>5.7000000000000002E-3</v>
      </c>
      <c r="S123" s="12">
        <v>4.4999999999999997E-3</v>
      </c>
      <c r="T123" s="12">
        <f>Q123/'סכום נכסי הקרן'!$C$42</f>
        <v>9.4387691480455488E-4</v>
      </c>
    </row>
    <row r="124" spans="2:20">
      <c r="B124" s="10" t="s">
        <v>339</v>
      </c>
      <c r="C124" s="43">
        <v>1125681</v>
      </c>
      <c r="D124" s="10" t="s">
        <v>138</v>
      </c>
      <c r="E124" s="10"/>
      <c r="F124" s="10">
        <v>1130</v>
      </c>
      <c r="G124" s="10" t="s">
        <v>239</v>
      </c>
      <c r="H124" s="10" t="s">
        <v>333</v>
      </c>
      <c r="I124" s="10" t="s">
        <v>240</v>
      </c>
      <c r="J124" s="10"/>
      <c r="K124" s="43">
        <v>1.82</v>
      </c>
      <c r="L124" s="10" t="s">
        <v>96</v>
      </c>
      <c r="M124" s="44">
        <v>4.4499999999999998E-2</v>
      </c>
      <c r="N124" s="12">
        <v>1.6400000000000001E-2</v>
      </c>
      <c r="O124" s="11">
        <v>1818163.06</v>
      </c>
      <c r="P124" s="11">
        <v>109.26</v>
      </c>
      <c r="Q124" s="11">
        <v>1986.52</v>
      </c>
      <c r="R124" s="12">
        <v>1.7100000000000001E-2</v>
      </c>
      <c r="S124" s="12">
        <v>2.5999999999999999E-3</v>
      </c>
      <c r="T124" s="12">
        <f>Q124/'סכום נכסי הקרן'!$C$42</f>
        <v>5.4628021792514311E-4</v>
      </c>
    </row>
    <row r="125" spans="2:20">
      <c r="B125" s="10" t="s">
        <v>340</v>
      </c>
      <c r="C125" s="43">
        <v>1115823</v>
      </c>
      <c r="D125" s="10" t="s">
        <v>138</v>
      </c>
      <c r="E125" s="10"/>
      <c r="F125" s="10">
        <v>1095</v>
      </c>
      <c r="G125" s="10" t="s">
        <v>307</v>
      </c>
      <c r="H125" s="10" t="s">
        <v>333</v>
      </c>
      <c r="I125" s="10" t="s">
        <v>240</v>
      </c>
      <c r="J125" s="10"/>
      <c r="K125" s="43">
        <v>3.34</v>
      </c>
      <c r="L125" s="10" t="s">
        <v>96</v>
      </c>
      <c r="M125" s="44">
        <v>6.0999999999999999E-2</v>
      </c>
      <c r="N125" s="12">
        <v>2.06E-2</v>
      </c>
      <c r="O125" s="11">
        <v>5555550.9000000004</v>
      </c>
      <c r="P125" s="11">
        <v>123.69</v>
      </c>
      <c r="Q125" s="11">
        <v>6871.66</v>
      </c>
      <c r="R125" s="12">
        <v>6.3E-3</v>
      </c>
      <c r="S125" s="12">
        <v>8.8999999999999999E-3</v>
      </c>
      <c r="T125" s="12">
        <f>Q125/'סכום נכסי הקרן'!$C$42</f>
        <v>1.8896622849543369E-3</v>
      </c>
    </row>
    <row r="126" spans="2:20">
      <c r="B126" s="10" t="s">
        <v>341</v>
      </c>
      <c r="C126" s="43">
        <v>1106046</v>
      </c>
      <c r="D126" s="10" t="s">
        <v>138</v>
      </c>
      <c r="E126" s="10"/>
      <c r="F126" s="10">
        <v>1095</v>
      </c>
      <c r="G126" s="10" t="s">
        <v>307</v>
      </c>
      <c r="H126" s="10" t="s">
        <v>333</v>
      </c>
      <c r="I126" s="10" t="s">
        <v>95</v>
      </c>
      <c r="J126" s="10"/>
      <c r="K126" s="43">
        <v>3.51</v>
      </c>
      <c r="L126" s="10" t="s">
        <v>96</v>
      </c>
      <c r="M126" s="44">
        <v>4.4999999999999998E-2</v>
      </c>
      <c r="N126" s="12">
        <v>0.02</v>
      </c>
      <c r="O126" s="11">
        <v>150477.76000000001</v>
      </c>
      <c r="P126" s="11">
        <v>129.77000000000001</v>
      </c>
      <c r="Q126" s="11">
        <v>195.27</v>
      </c>
      <c r="R126" s="12">
        <v>4.0000000000000002E-4</v>
      </c>
      <c r="S126" s="12">
        <v>2.9999999999999997E-4</v>
      </c>
      <c r="T126" s="12">
        <f>Q126/'סכום נכסי הקרן'!$C$42</f>
        <v>5.3697993553673109E-5</v>
      </c>
    </row>
    <row r="127" spans="2:20">
      <c r="B127" s="10" t="s">
        <v>342</v>
      </c>
      <c r="C127" s="43">
        <v>1125194</v>
      </c>
      <c r="D127" s="10" t="s">
        <v>138</v>
      </c>
      <c r="E127" s="10"/>
      <c r="F127" s="10">
        <v>1291</v>
      </c>
      <c r="G127" s="10" t="s">
        <v>220</v>
      </c>
      <c r="H127" s="10" t="s">
        <v>333</v>
      </c>
      <c r="I127" s="10" t="s">
        <v>95</v>
      </c>
      <c r="J127" s="10"/>
      <c r="K127" s="43">
        <v>1.96</v>
      </c>
      <c r="L127" s="10" t="s">
        <v>96</v>
      </c>
      <c r="M127" s="44">
        <v>4.8500000000000001E-2</v>
      </c>
      <c r="N127" s="12">
        <v>8.8999999999999999E-3</v>
      </c>
      <c r="O127" s="11">
        <v>41209.230000000003</v>
      </c>
      <c r="P127" s="11">
        <v>110</v>
      </c>
      <c r="Q127" s="11">
        <v>45.33</v>
      </c>
      <c r="R127" s="12">
        <v>2.9999999999999997E-4</v>
      </c>
      <c r="S127" s="12">
        <v>1E-4</v>
      </c>
      <c r="T127" s="12">
        <f>Q127/'סכום נכסי הקרן'!$C$42</f>
        <v>1.2465458328406832E-5</v>
      </c>
    </row>
    <row r="128" spans="2:20">
      <c r="B128" s="10" t="s">
        <v>343</v>
      </c>
      <c r="C128" s="43">
        <v>4110094</v>
      </c>
      <c r="D128" s="10" t="s">
        <v>138</v>
      </c>
      <c r="E128" s="10"/>
      <c r="F128" s="10">
        <v>411</v>
      </c>
      <c r="G128" s="10" t="s">
        <v>239</v>
      </c>
      <c r="H128" s="10" t="s">
        <v>333</v>
      </c>
      <c r="I128" s="10" t="s">
        <v>240</v>
      </c>
      <c r="J128" s="10"/>
      <c r="K128" s="43">
        <v>2.4</v>
      </c>
      <c r="L128" s="10" t="s">
        <v>96</v>
      </c>
      <c r="M128" s="44">
        <v>4.5999999999999999E-2</v>
      </c>
      <c r="N128" s="12">
        <v>1.8599999999999998E-2</v>
      </c>
      <c r="O128" s="11">
        <v>1307410.8799999999</v>
      </c>
      <c r="P128" s="11">
        <v>129.58000000000001</v>
      </c>
      <c r="Q128" s="11">
        <v>1694.14</v>
      </c>
      <c r="R128" s="12">
        <v>2.7000000000000001E-3</v>
      </c>
      <c r="S128" s="12">
        <v>2.2000000000000001E-3</v>
      </c>
      <c r="T128" s="12">
        <f>Q128/'סכום נכסי הקרן'!$C$42</f>
        <v>4.6587759921657074E-4</v>
      </c>
    </row>
    <row r="129" spans="2:20">
      <c r="B129" s="10" t="s">
        <v>344</v>
      </c>
      <c r="C129" s="43">
        <v>5760160</v>
      </c>
      <c r="D129" s="10" t="s">
        <v>138</v>
      </c>
      <c r="E129" s="10"/>
      <c r="F129" s="10">
        <v>576</v>
      </c>
      <c r="G129" s="10" t="s">
        <v>307</v>
      </c>
      <c r="H129" s="10" t="s">
        <v>333</v>
      </c>
      <c r="I129" s="10" t="s">
        <v>95</v>
      </c>
      <c r="J129" s="10"/>
      <c r="K129" s="43">
        <v>2.09</v>
      </c>
      <c r="L129" s="10" t="s">
        <v>96</v>
      </c>
      <c r="M129" s="44">
        <v>4.7E-2</v>
      </c>
      <c r="N129" s="12">
        <v>2.1700000000000001E-2</v>
      </c>
      <c r="O129" s="11">
        <v>5124100</v>
      </c>
      <c r="P129" s="11">
        <v>128.31</v>
      </c>
      <c r="Q129" s="11">
        <v>6574.73</v>
      </c>
      <c r="R129" s="12">
        <v>2.0999999999999999E-3</v>
      </c>
      <c r="S129" s="12">
        <v>8.5000000000000006E-3</v>
      </c>
      <c r="T129" s="12">
        <f>Q129/'סכום נכסי הקרן'!$C$42</f>
        <v>1.8080084455223086E-3</v>
      </c>
    </row>
    <row r="130" spans="2:20">
      <c r="B130" s="10" t="s">
        <v>345</v>
      </c>
      <c r="C130" s="43">
        <v>7430069</v>
      </c>
      <c r="D130" s="10" t="s">
        <v>138</v>
      </c>
      <c r="E130" s="10"/>
      <c r="F130" s="10">
        <v>743</v>
      </c>
      <c r="G130" s="10" t="s">
        <v>239</v>
      </c>
      <c r="H130" s="10" t="s">
        <v>333</v>
      </c>
      <c r="I130" s="10" t="s">
        <v>95</v>
      </c>
      <c r="J130" s="10"/>
      <c r="K130" s="43">
        <v>2.41</v>
      </c>
      <c r="L130" s="10" t="s">
        <v>96</v>
      </c>
      <c r="M130" s="44">
        <v>5.3999999999999999E-2</v>
      </c>
      <c r="N130" s="12">
        <v>1.2500000000000001E-2</v>
      </c>
      <c r="O130" s="11">
        <v>33538.42</v>
      </c>
      <c r="P130" s="11">
        <v>131.09</v>
      </c>
      <c r="Q130" s="11">
        <v>43.97</v>
      </c>
      <c r="R130" s="12">
        <v>2.0000000000000001E-4</v>
      </c>
      <c r="S130" s="12">
        <v>1E-4</v>
      </c>
      <c r="T130" s="12">
        <f>Q130/'סכום נכסי הקרן'!$C$42</f>
        <v>1.2091467079198068E-5</v>
      </c>
    </row>
    <row r="131" spans="2:20">
      <c r="B131" s="10" t="s">
        <v>346</v>
      </c>
      <c r="C131" s="43">
        <v>1130632</v>
      </c>
      <c r="D131" s="10" t="s">
        <v>138</v>
      </c>
      <c r="E131" s="10"/>
      <c r="F131" s="10">
        <v>1450</v>
      </c>
      <c r="G131" s="10" t="s">
        <v>239</v>
      </c>
      <c r="H131" s="10" t="s">
        <v>333</v>
      </c>
      <c r="I131" s="10" t="s">
        <v>95</v>
      </c>
      <c r="J131" s="10"/>
      <c r="K131" s="43">
        <v>4.07</v>
      </c>
      <c r="L131" s="10" t="s">
        <v>96</v>
      </c>
      <c r="M131" s="44">
        <v>3.3500000000000002E-2</v>
      </c>
      <c r="N131" s="12">
        <v>2.1899999999999999E-2</v>
      </c>
      <c r="O131" s="11">
        <v>578500</v>
      </c>
      <c r="P131" s="11">
        <v>105.36</v>
      </c>
      <c r="Q131" s="11">
        <f>609.5-55.301</f>
        <v>554.19899999999996</v>
      </c>
      <c r="R131" s="12">
        <v>1.4E-3</v>
      </c>
      <c r="S131" s="12">
        <v>8.0000000000000004E-4</v>
      </c>
      <c r="T131" s="12">
        <f>Q131/'סכום נכסי הקרן'!$C$42</f>
        <v>1.5240115905900588E-4</v>
      </c>
    </row>
    <row r="132" spans="2:20">
      <c r="B132" s="10" t="s">
        <v>347</v>
      </c>
      <c r="C132" s="43">
        <v>1127323</v>
      </c>
      <c r="D132" s="10" t="s">
        <v>138</v>
      </c>
      <c r="E132" s="10"/>
      <c r="F132" s="10">
        <v>1450</v>
      </c>
      <c r="G132" s="10" t="s">
        <v>239</v>
      </c>
      <c r="H132" s="10" t="s">
        <v>333</v>
      </c>
      <c r="I132" s="10" t="s">
        <v>95</v>
      </c>
      <c r="J132" s="10"/>
      <c r="K132" s="43">
        <v>2.8</v>
      </c>
      <c r="L132" s="10" t="s">
        <v>96</v>
      </c>
      <c r="M132" s="44">
        <v>4.3999999999999997E-2</v>
      </c>
      <c r="N132" s="12">
        <v>1.21E-2</v>
      </c>
      <c r="O132" s="11">
        <v>2363318.6</v>
      </c>
      <c r="P132" s="11">
        <v>109.3</v>
      </c>
      <c r="Q132" s="11">
        <v>2583.11</v>
      </c>
      <c r="R132" s="12">
        <v>1.34E-2</v>
      </c>
      <c r="S132" s="12">
        <v>3.3999999999999998E-3</v>
      </c>
      <c r="T132" s="12">
        <f>Q132/'סכום נכסי הקרן'!$C$42</f>
        <v>7.1033862922327312E-4</v>
      </c>
    </row>
    <row r="133" spans="2:20">
      <c r="B133" s="10" t="s">
        <v>348</v>
      </c>
      <c r="C133" s="43">
        <v>6990139</v>
      </c>
      <c r="D133" s="10" t="s">
        <v>138</v>
      </c>
      <c r="E133" s="10"/>
      <c r="F133" s="10">
        <v>699</v>
      </c>
      <c r="G133" s="10" t="s">
        <v>239</v>
      </c>
      <c r="H133" s="10" t="s">
        <v>333</v>
      </c>
      <c r="I133" s="10" t="s">
        <v>95</v>
      </c>
      <c r="J133" s="10"/>
      <c r="K133" s="43">
        <v>0.9</v>
      </c>
      <c r="L133" s="10" t="s">
        <v>96</v>
      </c>
      <c r="M133" s="44">
        <v>0.05</v>
      </c>
      <c r="N133" s="12">
        <v>5.1000000000000004E-3</v>
      </c>
      <c r="O133" s="11">
        <v>54562.97</v>
      </c>
      <c r="P133" s="11">
        <v>124.28</v>
      </c>
      <c r="Q133" s="11">
        <v>67.81</v>
      </c>
      <c r="R133" s="12">
        <v>2.0000000000000001E-4</v>
      </c>
      <c r="S133" s="12">
        <v>1E-4</v>
      </c>
      <c r="T133" s="12">
        <f>Q133/'סכום נכסי הקרן'!$C$42</f>
        <v>1.8647313682975231E-5</v>
      </c>
    </row>
    <row r="134" spans="2:20">
      <c r="B134" s="10" t="s">
        <v>349</v>
      </c>
      <c r="C134" s="43">
        <v>6990154</v>
      </c>
      <c r="D134" s="10" t="s">
        <v>138</v>
      </c>
      <c r="E134" s="10"/>
      <c r="F134" s="10">
        <v>699</v>
      </c>
      <c r="G134" s="10" t="s">
        <v>239</v>
      </c>
      <c r="H134" s="10" t="s">
        <v>333</v>
      </c>
      <c r="I134" s="10" t="s">
        <v>95</v>
      </c>
      <c r="J134" s="10"/>
      <c r="K134" s="43">
        <v>5.7</v>
      </c>
      <c r="L134" s="10" t="s">
        <v>96</v>
      </c>
      <c r="M134" s="44">
        <v>4.9500000000000002E-2</v>
      </c>
      <c r="N134" s="12">
        <v>2.6599999999999999E-2</v>
      </c>
      <c r="O134" s="11">
        <v>2343822.86</v>
      </c>
      <c r="P134" s="11">
        <v>135.61000000000001</v>
      </c>
      <c r="Q134" s="11">
        <f>3178.46-29.87</f>
        <v>3148.59</v>
      </c>
      <c r="R134" s="12">
        <v>1.5E-3</v>
      </c>
      <c r="S134" s="12">
        <v>4.1000000000000003E-3</v>
      </c>
      <c r="T134" s="12">
        <f>Q134/'סכום נכסי הקרן'!$C$42</f>
        <v>8.6584199069575265E-4</v>
      </c>
    </row>
    <row r="135" spans="2:20">
      <c r="B135" s="10" t="s">
        <v>350</v>
      </c>
      <c r="C135" s="43">
        <v>1115724</v>
      </c>
      <c r="D135" s="10" t="s">
        <v>138</v>
      </c>
      <c r="E135" s="10"/>
      <c r="F135" s="10">
        <v>1349</v>
      </c>
      <c r="G135" s="10" t="s">
        <v>239</v>
      </c>
      <c r="H135" s="10" t="s">
        <v>333</v>
      </c>
      <c r="I135" s="10" t="s">
        <v>240</v>
      </c>
      <c r="J135" s="10"/>
      <c r="K135" s="43">
        <v>1.31</v>
      </c>
      <c r="L135" s="10" t="s">
        <v>96</v>
      </c>
      <c r="M135" s="44">
        <v>4.2000000000000003E-2</v>
      </c>
      <c r="N135" s="12">
        <v>1.0699999999999999E-2</v>
      </c>
      <c r="O135" s="11">
        <v>17082.36</v>
      </c>
      <c r="P135" s="11">
        <v>112.41</v>
      </c>
      <c r="Q135" s="11">
        <v>19.2</v>
      </c>
      <c r="R135" s="12">
        <v>1E-4</v>
      </c>
      <c r="S135" s="12">
        <v>0</v>
      </c>
      <c r="T135" s="12">
        <f>Q135/'סכום נכסי הקרן'!$C$42</f>
        <v>5.2798764594178501E-6</v>
      </c>
    </row>
    <row r="136" spans="2:20">
      <c r="B136" s="10" t="s">
        <v>351</v>
      </c>
      <c r="C136" s="43">
        <v>1119999</v>
      </c>
      <c r="D136" s="10" t="s">
        <v>138</v>
      </c>
      <c r="E136" s="10"/>
      <c r="F136" s="10">
        <v>1349</v>
      </c>
      <c r="G136" s="10" t="s">
        <v>239</v>
      </c>
      <c r="H136" s="10" t="s">
        <v>333</v>
      </c>
      <c r="I136" s="10" t="s">
        <v>240</v>
      </c>
      <c r="J136" s="10"/>
      <c r="K136" s="43">
        <v>1.95</v>
      </c>
      <c r="L136" s="10" t="s">
        <v>96</v>
      </c>
      <c r="M136" s="44">
        <v>4.8000000000000001E-2</v>
      </c>
      <c r="N136" s="12">
        <v>1.4E-2</v>
      </c>
      <c r="O136" s="11">
        <v>168987.24</v>
      </c>
      <c r="P136" s="11">
        <v>113.74</v>
      </c>
      <c r="Q136" s="11">
        <v>192.21</v>
      </c>
      <c r="R136" s="12">
        <v>2.0000000000000001E-4</v>
      </c>
      <c r="S136" s="12">
        <v>2.0000000000000001E-4</v>
      </c>
      <c r="T136" s="12">
        <f>Q136/'סכום נכסי הקרן'!$C$42</f>
        <v>5.285651324295339E-5</v>
      </c>
    </row>
    <row r="137" spans="2:20">
      <c r="B137" s="10" t="s">
        <v>352</v>
      </c>
      <c r="C137" s="43">
        <v>1130467</v>
      </c>
      <c r="D137" s="10" t="s">
        <v>138</v>
      </c>
      <c r="E137" s="10"/>
      <c r="F137" s="10">
        <v>1349</v>
      </c>
      <c r="G137" s="10" t="s">
        <v>239</v>
      </c>
      <c r="H137" s="10" t="s">
        <v>333</v>
      </c>
      <c r="I137" s="10" t="s">
        <v>240</v>
      </c>
      <c r="J137" s="10"/>
      <c r="K137" s="43">
        <v>4.5999999999999996</v>
      </c>
      <c r="L137" s="10" t="s">
        <v>96</v>
      </c>
      <c r="M137" s="44">
        <v>3.703E-2</v>
      </c>
      <c r="N137" s="12">
        <v>2.92E-2</v>
      </c>
      <c r="O137" s="11">
        <v>2421000</v>
      </c>
      <c r="P137" s="11">
        <v>104</v>
      </c>
      <c r="Q137" s="11">
        <v>2517.84</v>
      </c>
      <c r="R137" s="12">
        <v>3.7000000000000002E-3</v>
      </c>
      <c r="S137" s="12">
        <v>3.3E-3</v>
      </c>
      <c r="T137" s="12">
        <f>Q137/'סכום נכסי הקרן'!$C$42</f>
        <v>6.9238979919690837E-4</v>
      </c>
    </row>
    <row r="138" spans="2:20">
      <c r="B138" s="10" t="s">
        <v>353</v>
      </c>
      <c r="C138" s="43">
        <v>1129733</v>
      </c>
      <c r="D138" s="10" t="s">
        <v>138</v>
      </c>
      <c r="E138" s="10"/>
      <c r="F138" s="10">
        <v>1068</v>
      </c>
      <c r="G138" s="10" t="s">
        <v>239</v>
      </c>
      <c r="H138" s="10" t="s">
        <v>333</v>
      </c>
      <c r="I138" s="10" t="s">
        <v>95</v>
      </c>
      <c r="J138" s="10"/>
      <c r="K138" s="43">
        <v>5.09</v>
      </c>
      <c r="L138" s="10" t="s">
        <v>96</v>
      </c>
      <c r="M138" s="44">
        <v>4.0899999999999999E-2</v>
      </c>
      <c r="N138" s="12">
        <v>3.04E-2</v>
      </c>
      <c r="O138" s="11">
        <v>3751664</v>
      </c>
      <c r="P138" s="11">
        <v>107.9</v>
      </c>
      <c r="Q138" s="11">
        <v>4048.05</v>
      </c>
      <c r="R138" s="12">
        <v>2.0999999999999999E-3</v>
      </c>
      <c r="S138" s="12">
        <v>5.3E-3</v>
      </c>
      <c r="T138" s="12">
        <f>Q138/'סכום נכסי הקרן'!$C$42</f>
        <v>1.1131877032055433E-3</v>
      </c>
    </row>
    <row r="139" spans="2:20">
      <c r="B139" s="10" t="s">
        <v>354</v>
      </c>
      <c r="C139" s="43">
        <v>1135888</v>
      </c>
      <c r="D139" s="10" t="s">
        <v>138</v>
      </c>
      <c r="E139" s="10"/>
      <c r="F139" s="10">
        <v>1068</v>
      </c>
      <c r="G139" s="10" t="s">
        <v>239</v>
      </c>
      <c r="H139" s="10" t="s">
        <v>333</v>
      </c>
      <c r="I139" s="10" t="s">
        <v>95</v>
      </c>
      <c r="J139" s="10"/>
      <c r="K139" s="43">
        <v>6.72</v>
      </c>
      <c r="L139" s="10" t="s">
        <v>96</v>
      </c>
      <c r="M139" s="44">
        <v>3.6499999999999998E-2</v>
      </c>
      <c r="N139" s="12">
        <v>3.7400000000000003E-2</v>
      </c>
      <c r="O139" s="11">
        <v>835800</v>
      </c>
      <c r="P139" s="11">
        <v>101.9</v>
      </c>
      <c r="Q139" s="11">
        <v>851.68</v>
      </c>
      <c r="R139" s="12">
        <v>6.9999999999999999E-4</v>
      </c>
      <c r="S139" s="12">
        <v>1.1000000000000001E-3</v>
      </c>
      <c r="T139" s="12">
        <f>Q139/'סכום נכסי הקרן'!$C$42</f>
        <v>2.3420651994567681E-4</v>
      </c>
    </row>
    <row r="140" spans="2:20">
      <c r="B140" s="10" t="s">
        <v>355</v>
      </c>
      <c r="C140" s="43">
        <v>1410281</v>
      </c>
      <c r="D140" s="10" t="s">
        <v>138</v>
      </c>
      <c r="E140" s="10"/>
      <c r="F140" s="10">
        <v>141</v>
      </c>
      <c r="G140" s="10" t="s">
        <v>356</v>
      </c>
      <c r="H140" s="10" t="s">
        <v>333</v>
      </c>
      <c r="I140" s="10" t="s">
        <v>95</v>
      </c>
      <c r="J140" s="10"/>
      <c r="K140" s="43">
        <v>3.01</v>
      </c>
      <c r="L140" s="10" t="s">
        <v>96</v>
      </c>
      <c r="M140" s="44">
        <v>2.1499999999999998E-2</v>
      </c>
      <c r="N140" s="12">
        <v>2.1700000000000001E-2</v>
      </c>
      <c r="O140" s="11">
        <v>1663202.1</v>
      </c>
      <c r="P140" s="11">
        <v>100.46</v>
      </c>
      <c r="Q140" s="11">
        <v>1670.85</v>
      </c>
      <c r="R140" s="12">
        <v>1.9E-3</v>
      </c>
      <c r="S140" s="12">
        <v>2.2000000000000001E-3</v>
      </c>
      <c r="T140" s="12">
        <f>Q140/'סכום נכסי הקרן'!$C$42</f>
        <v>4.5947299907387056E-4</v>
      </c>
    </row>
    <row r="141" spans="2:20">
      <c r="B141" s="10" t="s">
        <v>357</v>
      </c>
      <c r="C141" s="43">
        <v>1410265</v>
      </c>
      <c r="D141" s="10" t="s">
        <v>138</v>
      </c>
      <c r="E141" s="10"/>
      <c r="F141" s="10">
        <v>141</v>
      </c>
      <c r="G141" s="10" t="s">
        <v>356</v>
      </c>
      <c r="H141" s="10" t="s">
        <v>333</v>
      </c>
      <c r="I141" s="10" t="s">
        <v>95</v>
      </c>
      <c r="J141" s="10"/>
      <c r="K141" s="43">
        <v>1.62</v>
      </c>
      <c r="L141" s="10" t="s">
        <v>96</v>
      </c>
      <c r="M141" s="44">
        <v>3.7499999999999999E-2</v>
      </c>
      <c r="N141" s="12">
        <v>1.8599999999999998E-2</v>
      </c>
      <c r="O141" s="11">
        <v>2451233.35</v>
      </c>
      <c r="P141" s="11">
        <v>103.83</v>
      </c>
      <c r="Q141" s="11">
        <v>2545.12</v>
      </c>
      <c r="R141" s="12">
        <v>4.4000000000000003E-3</v>
      </c>
      <c r="S141" s="12">
        <v>3.3E-3</v>
      </c>
      <c r="T141" s="12">
        <f>Q141/'סכום נכסי הקרן'!$C$42</f>
        <v>6.9989162366633126E-4</v>
      </c>
    </row>
    <row r="142" spans="2:20">
      <c r="B142" s="10" t="s">
        <v>358</v>
      </c>
      <c r="C142" s="43">
        <v>1410224</v>
      </c>
      <c r="D142" s="10" t="s">
        <v>138</v>
      </c>
      <c r="E142" s="10"/>
      <c r="F142" s="10">
        <v>141</v>
      </c>
      <c r="G142" s="10" t="s">
        <v>356</v>
      </c>
      <c r="H142" s="10" t="s">
        <v>333</v>
      </c>
      <c r="I142" s="10" t="s">
        <v>95</v>
      </c>
      <c r="J142" s="10"/>
      <c r="K142" s="43">
        <v>0.63</v>
      </c>
      <c r="L142" s="10" t="s">
        <v>96</v>
      </c>
      <c r="M142" s="44">
        <v>2.3E-2</v>
      </c>
      <c r="N142" s="12">
        <v>1.4800000000000001E-2</v>
      </c>
      <c r="O142" s="11">
        <v>753241.9</v>
      </c>
      <c r="P142" s="11">
        <v>104.78</v>
      </c>
      <c r="Q142" s="11">
        <f>789.25-61.49</f>
        <v>727.76</v>
      </c>
      <c r="R142" s="12">
        <v>6.1999999999999998E-3</v>
      </c>
      <c r="S142" s="12">
        <v>1E-3</v>
      </c>
      <c r="T142" s="12">
        <f>Q142/'סכום נכסי הקרן'!$C$42</f>
        <v>2.0012931729718411E-4</v>
      </c>
    </row>
    <row r="143" spans="2:20">
      <c r="B143" s="10" t="s">
        <v>359</v>
      </c>
      <c r="C143" s="43">
        <v>1820174</v>
      </c>
      <c r="D143" s="10" t="s">
        <v>138</v>
      </c>
      <c r="E143" s="10"/>
      <c r="F143" s="10">
        <v>182</v>
      </c>
      <c r="G143" s="10" t="s">
        <v>239</v>
      </c>
      <c r="H143" s="10" t="s">
        <v>360</v>
      </c>
      <c r="I143" s="10" t="s">
        <v>240</v>
      </c>
      <c r="J143" s="10"/>
      <c r="K143" s="43">
        <v>3.77</v>
      </c>
      <c r="L143" s="10" t="s">
        <v>96</v>
      </c>
      <c r="M143" s="44">
        <v>3.5000000000000003E-2</v>
      </c>
      <c r="N143" s="12">
        <v>2.5899999999999999E-2</v>
      </c>
      <c r="O143" s="11">
        <v>2781122.92</v>
      </c>
      <c r="P143" s="11">
        <v>103.45</v>
      </c>
      <c r="Q143" s="11">
        <f>2877.07-20.51</f>
        <v>2856.56</v>
      </c>
      <c r="R143" s="12">
        <v>6.6E-3</v>
      </c>
      <c r="S143" s="12">
        <v>3.7000000000000002E-3</v>
      </c>
      <c r="T143" s="12">
        <f>Q143/'סכום נכסי הקרן'!$C$42</f>
        <v>7.8553561973513828E-4</v>
      </c>
    </row>
    <row r="144" spans="2:20">
      <c r="B144" s="10" t="s">
        <v>361</v>
      </c>
      <c r="C144" s="43">
        <v>1820158</v>
      </c>
      <c r="D144" s="10" t="s">
        <v>138</v>
      </c>
      <c r="E144" s="10"/>
      <c r="F144" s="10">
        <v>182</v>
      </c>
      <c r="G144" s="10" t="s">
        <v>239</v>
      </c>
      <c r="H144" s="10" t="s">
        <v>360</v>
      </c>
      <c r="I144" s="10" t="s">
        <v>240</v>
      </c>
      <c r="J144" s="10"/>
      <c r="K144" s="43">
        <v>1.94</v>
      </c>
      <c r="L144" s="10" t="s">
        <v>96</v>
      </c>
      <c r="M144" s="44">
        <v>5.6000000000000001E-2</v>
      </c>
      <c r="N144" s="12">
        <v>1.29E-2</v>
      </c>
      <c r="O144" s="11">
        <v>2492703.3199999998</v>
      </c>
      <c r="P144" s="11">
        <v>113.49</v>
      </c>
      <c r="Q144" s="11">
        <f>2828.97-316.68</f>
        <v>2512.29</v>
      </c>
      <c r="R144" s="12">
        <v>1.3100000000000001E-2</v>
      </c>
      <c r="S144" s="12">
        <v>3.7000000000000002E-3</v>
      </c>
      <c r="T144" s="12">
        <f>Q144/'סכום נכסי הקרן'!$C$42</f>
        <v>6.9086358490785794E-4</v>
      </c>
    </row>
    <row r="145" spans="2:20">
      <c r="B145" s="10" t="s">
        <v>362</v>
      </c>
      <c r="C145" s="43">
        <v>1820190</v>
      </c>
      <c r="D145" s="10" t="s">
        <v>138</v>
      </c>
      <c r="E145" s="10"/>
      <c r="F145" s="10">
        <v>182</v>
      </c>
      <c r="G145" s="10" t="s">
        <v>239</v>
      </c>
      <c r="H145" s="10" t="s">
        <v>360</v>
      </c>
      <c r="I145" s="10" t="s">
        <v>240</v>
      </c>
      <c r="J145" s="10"/>
      <c r="K145" s="43">
        <v>5.7</v>
      </c>
      <c r="L145" s="10" t="s">
        <v>96</v>
      </c>
      <c r="M145" s="44">
        <v>4.65E-2</v>
      </c>
      <c r="N145" s="12">
        <v>3.4500000000000003E-2</v>
      </c>
      <c r="O145" s="11">
        <v>1268974.78</v>
      </c>
      <c r="P145" s="11">
        <v>107.05</v>
      </c>
      <c r="Q145" s="11">
        <f>1358.44-12.56</f>
        <v>1345.88</v>
      </c>
      <c r="R145" s="12">
        <v>3.2000000000000002E-3</v>
      </c>
      <c r="S145" s="12">
        <v>1.8E-3</v>
      </c>
      <c r="T145" s="12">
        <f>Q145/'סכום נכסי הקרן'!$C$42</f>
        <v>3.7010834006256758E-4</v>
      </c>
    </row>
    <row r="146" spans="2:20">
      <c r="B146" s="10" t="s">
        <v>363</v>
      </c>
      <c r="C146" s="43">
        <v>7150246</v>
      </c>
      <c r="D146" s="10" t="s">
        <v>138</v>
      </c>
      <c r="E146" s="10"/>
      <c r="F146" s="10">
        <v>715</v>
      </c>
      <c r="G146" s="10" t="s">
        <v>239</v>
      </c>
      <c r="H146" s="10" t="s">
        <v>360</v>
      </c>
      <c r="I146" s="10" t="s">
        <v>95</v>
      </c>
      <c r="J146" s="10"/>
      <c r="K146" s="43">
        <v>0.99</v>
      </c>
      <c r="L146" s="10" t="s">
        <v>96</v>
      </c>
      <c r="M146" s="44">
        <v>5.5E-2</v>
      </c>
      <c r="N146" s="12">
        <v>1.29E-2</v>
      </c>
      <c r="O146" s="11">
        <v>905776.81</v>
      </c>
      <c r="P146" s="11">
        <v>124.01</v>
      </c>
      <c r="Q146" s="11">
        <f>1123.25-251.2</f>
        <v>872.05</v>
      </c>
      <c r="R146" s="12">
        <v>1.5100000000000001E-2</v>
      </c>
      <c r="S146" s="12">
        <v>1.5E-3</v>
      </c>
      <c r="T146" s="12">
        <f>Q146/'סכום נכסי הקרן'!$C$42</f>
        <v>2.3980813887684044E-4</v>
      </c>
    </row>
    <row r="147" spans="2:20">
      <c r="B147" s="10" t="s">
        <v>364</v>
      </c>
      <c r="C147" s="43">
        <v>1131614</v>
      </c>
      <c r="D147" s="10" t="s">
        <v>138</v>
      </c>
      <c r="E147" s="10"/>
      <c r="F147" s="10">
        <v>2156</v>
      </c>
      <c r="G147" s="10" t="s">
        <v>247</v>
      </c>
      <c r="H147" s="10" t="s">
        <v>360</v>
      </c>
      <c r="I147" s="10" t="s">
        <v>240</v>
      </c>
      <c r="J147" s="10"/>
      <c r="K147" s="43">
        <v>3.69</v>
      </c>
      <c r="L147" s="10" t="s">
        <v>96</v>
      </c>
      <c r="M147" s="44">
        <v>0.06</v>
      </c>
      <c r="N147" s="12">
        <v>2.2800000000000001E-2</v>
      </c>
      <c r="O147" s="11">
        <v>1472433</v>
      </c>
      <c r="P147" s="11">
        <v>116.26</v>
      </c>
      <c r="Q147" s="11">
        <v>1711.85</v>
      </c>
      <c r="R147" s="12">
        <v>2.8E-3</v>
      </c>
      <c r="S147" s="12">
        <v>2.2000000000000001E-3</v>
      </c>
      <c r="T147" s="12">
        <f>Q147/'סכום נכסי הקרן'!$C$42</f>
        <v>4.7074773526325245E-4</v>
      </c>
    </row>
    <row r="148" spans="2:20">
      <c r="B148" s="10" t="s">
        <v>365</v>
      </c>
      <c r="C148" s="43">
        <v>1120880</v>
      </c>
      <c r="D148" s="10" t="s">
        <v>138</v>
      </c>
      <c r="E148" s="10"/>
      <c r="F148" s="10">
        <v>2156</v>
      </c>
      <c r="G148" s="10" t="s">
        <v>247</v>
      </c>
      <c r="H148" s="10" t="s">
        <v>360</v>
      </c>
      <c r="I148" s="10" t="s">
        <v>240</v>
      </c>
      <c r="J148" s="10"/>
      <c r="K148" s="43">
        <v>1.17</v>
      </c>
      <c r="L148" s="10" t="s">
        <v>96</v>
      </c>
      <c r="M148" s="44">
        <v>4.4499999999999998E-2</v>
      </c>
      <c r="N148" s="12">
        <v>1.8599999999999998E-2</v>
      </c>
      <c r="O148" s="11">
        <v>199773.39</v>
      </c>
      <c r="P148" s="11">
        <v>109.96</v>
      </c>
      <c r="Q148" s="11">
        <v>219.67</v>
      </c>
      <c r="R148" s="12">
        <v>5.0000000000000001E-4</v>
      </c>
      <c r="S148" s="12">
        <v>2.9999999999999997E-4</v>
      </c>
      <c r="T148" s="12">
        <f>Q148/'סכום נכסי הקרן'!$C$42</f>
        <v>6.0407836554183293E-5</v>
      </c>
    </row>
    <row r="149" spans="2:20">
      <c r="B149" s="10" t="s">
        <v>366</v>
      </c>
      <c r="C149" s="43">
        <v>1127588</v>
      </c>
      <c r="D149" s="10" t="s">
        <v>138</v>
      </c>
      <c r="E149" s="10"/>
      <c r="F149" s="10">
        <v>1382</v>
      </c>
      <c r="G149" s="10" t="s">
        <v>356</v>
      </c>
      <c r="H149" s="10" t="s">
        <v>360</v>
      </c>
      <c r="I149" s="10" t="s">
        <v>240</v>
      </c>
      <c r="J149" s="10"/>
      <c r="K149" s="43">
        <v>1.1299999999999999</v>
      </c>
      <c r="L149" s="10" t="s">
        <v>96</v>
      </c>
      <c r="M149" s="44">
        <v>4.2000000000000003E-2</v>
      </c>
      <c r="N149" s="12">
        <v>2.3E-2</v>
      </c>
      <c r="O149" s="11">
        <v>2360207.14</v>
      </c>
      <c r="P149" s="11">
        <v>103.49</v>
      </c>
      <c r="Q149" s="11">
        <v>2442.58</v>
      </c>
      <c r="R149" s="12">
        <v>5.3E-3</v>
      </c>
      <c r="S149" s="12">
        <v>3.2000000000000002E-3</v>
      </c>
      <c r="T149" s="12">
        <f>Q149/'סכום נכסי הקרן'!$C$42</f>
        <v>6.7169378345025281E-4</v>
      </c>
    </row>
    <row r="150" spans="2:20">
      <c r="B150" s="10" t="s">
        <v>367</v>
      </c>
      <c r="C150" s="43">
        <v>1122233</v>
      </c>
      <c r="D150" s="10" t="s">
        <v>138</v>
      </c>
      <c r="E150" s="10"/>
      <c r="F150" s="10">
        <v>1172</v>
      </c>
      <c r="G150" s="10" t="s">
        <v>239</v>
      </c>
      <c r="H150" s="10" t="s">
        <v>360</v>
      </c>
      <c r="I150" s="10" t="s">
        <v>240</v>
      </c>
      <c r="J150" s="10"/>
      <c r="K150" s="43">
        <v>1.29</v>
      </c>
      <c r="L150" s="10" t="s">
        <v>96</v>
      </c>
      <c r="M150" s="44">
        <v>5.8999999999999997E-2</v>
      </c>
      <c r="N150" s="12">
        <v>1.7000000000000001E-2</v>
      </c>
      <c r="O150" s="11">
        <v>1849705.96</v>
      </c>
      <c r="P150" s="11">
        <v>113.26</v>
      </c>
      <c r="Q150" s="11">
        <v>2094.98</v>
      </c>
      <c r="R150" s="12">
        <v>5.1999999999999998E-3</v>
      </c>
      <c r="S150" s="12">
        <v>2.7000000000000001E-3</v>
      </c>
      <c r="T150" s="12">
        <f>Q150/'סכום נכסי הקרן'!$C$42</f>
        <v>5.7610602004954216E-4</v>
      </c>
    </row>
    <row r="151" spans="2:20">
      <c r="B151" s="10" t="s">
        <v>368</v>
      </c>
      <c r="C151" s="43">
        <v>1103282</v>
      </c>
      <c r="D151" s="10" t="s">
        <v>138</v>
      </c>
      <c r="E151" s="10"/>
      <c r="F151" s="10">
        <v>1421</v>
      </c>
      <c r="G151" s="10" t="s">
        <v>356</v>
      </c>
      <c r="H151" s="10" t="s">
        <v>360</v>
      </c>
      <c r="I151" s="10" t="s">
        <v>240</v>
      </c>
      <c r="J151" s="10"/>
      <c r="K151" s="7"/>
      <c r="L151" s="10" t="s">
        <v>96</v>
      </c>
      <c r="M151" s="44">
        <v>0.04</v>
      </c>
      <c r="N151" s="7"/>
      <c r="O151" s="11">
        <v>0.01</v>
      </c>
      <c r="P151" s="11">
        <v>119</v>
      </c>
      <c r="Q151" s="11">
        <v>0</v>
      </c>
      <c r="R151" s="12">
        <v>0</v>
      </c>
      <c r="S151" s="12">
        <v>0</v>
      </c>
      <c r="T151" s="12">
        <f>Q151/'סכום נכסי הקרן'!$C$42</f>
        <v>0</v>
      </c>
    </row>
    <row r="152" spans="2:20">
      <c r="B152" s="10" t="s">
        <v>369</v>
      </c>
      <c r="C152" s="43">
        <v>1118587</v>
      </c>
      <c r="D152" s="10" t="s">
        <v>138</v>
      </c>
      <c r="E152" s="10"/>
      <c r="F152" s="10">
        <v>1513</v>
      </c>
      <c r="G152" s="10" t="s">
        <v>239</v>
      </c>
      <c r="H152" s="10" t="s">
        <v>360</v>
      </c>
      <c r="I152" s="10" t="s">
        <v>95</v>
      </c>
      <c r="J152" s="10"/>
      <c r="K152" s="43">
        <v>1.39</v>
      </c>
      <c r="L152" s="10" t="s">
        <v>96</v>
      </c>
      <c r="M152" s="44">
        <v>6.4000000000000001E-2</v>
      </c>
      <c r="N152" s="12">
        <v>3.15E-2</v>
      </c>
      <c r="O152" s="11">
        <v>90919.82</v>
      </c>
      <c r="P152" s="11">
        <v>113.41</v>
      </c>
      <c r="Q152" s="11">
        <v>103.11</v>
      </c>
      <c r="R152" s="12">
        <v>8.9999999999999998E-4</v>
      </c>
      <c r="S152" s="12">
        <v>1E-4</v>
      </c>
      <c r="T152" s="12">
        <f>Q152/'סכום נכסי הקרן'!$C$42</f>
        <v>2.8354586548467426E-5</v>
      </c>
    </row>
    <row r="153" spans="2:20">
      <c r="B153" s="10" t="s">
        <v>370</v>
      </c>
      <c r="C153" s="43">
        <v>4770145</v>
      </c>
      <c r="D153" s="10" t="s">
        <v>138</v>
      </c>
      <c r="E153" s="10"/>
      <c r="F153" s="10">
        <v>477</v>
      </c>
      <c r="G153" s="10" t="s">
        <v>184</v>
      </c>
      <c r="H153" s="10" t="s">
        <v>360</v>
      </c>
      <c r="I153" s="10" t="s">
        <v>95</v>
      </c>
      <c r="J153" s="10"/>
      <c r="K153" s="43">
        <v>0.24</v>
      </c>
      <c r="L153" s="10" t="s">
        <v>96</v>
      </c>
      <c r="M153" s="44">
        <v>4.9000000000000002E-2</v>
      </c>
      <c r="N153" s="12">
        <v>3.6600000000000001E-2</v>
      </c>
      <c r="O153" s="11">
        <v>192587.99</v>
      </c>
      <c r="P153" s="11">
        <v>121.53</v>
      </c>
      <c r="Q153" s="11">
        <v>234.05</v>
      </c>
      <c r="R153" s="12">
        <v>1.54E-2</v>
      </c>
      <c r="S153" s="12">
        <v>2.9999999999999997E-4</v>
      </c>
      <c r="T153" s="12">
        <f>Q153/'סכום נכסי הקרן'!$C$42</f>
        <v>6.4362244027434793E-5</v>
      </c>
    </row>
    <row r="154" spans="2:20">
      <c r="B154" s="10" t="s">
        <v>371</v>
      </c>
      <c r="C154" s="43">
        <v>1103738</v>
      </c>
      <c r="D154" s="10" t="s">
        <v>138</v>
      </c>
      <c r="E154" s="10"/>
      <c r="F154" s="10">
        <v>1248</v>
      </c>
      <c r="G154" s="10" t="s">
        <v>220</v>
      </c>
      <c r="H154" s="10" t="s">
        <v>360</v>
      </c>
      <c r="I154" s="10" t="s">
        <v>95</v>
      </c>
      <c r="J154" s="10"/>
      <c r="K154" s="43">
        <v>0.36</v>
      </c>
      <c r="L154" s="10" t="s">
        <v>96</v>
      </c>
      <c r="M154" s="44">
        <v>4.1000000000000002E-2</v>
      </c>
      <c r="N154" s="12">
        <v>2.8500000000000001E-2</v>
      </c>
      <c r="O154" s="11">
        <v>670321.5</v>
      </c>
      <c r="P154" s="11">
        <v>123.32</v>
      </c>
      <c r="Q154" s="11">
        <v>826.64</v>
      </c>
      <c r="R154" s="12">
        <v>1.34E-2</v>
      </c>
      <c r="S154" s="12">
        <v>1.1000000000000001E-3</v>
      </c>
      <c r="T154" s="12">
        <f>Q154/'סכום נכסי הקרן'!$C$42</f>
        <v>2.2732068106318603E-4</v>
      </c>
    </row>
    <row r="155" spans="2:20">
      <c r="B155" s="10" t="s">
        <v>372</v>
      </c>
      <c r="C155" s="43">
        <v>2260479</v>
      </c>
      <c r="D155" s="10" t="s">
        <v>138</v>
      </c>
      <c r="E155" s="10"/>
      <c r="F155" s="10">
        <v>226</v>
      </c>
      <c r="G155" s="10" t="s">
        <v>239</v>
      </c>
      <c r="H155" s="10" t="s">
        <v>360</v>
      </c>
      <c r="I155" s="10" t="s">
        <v>95</v>
      </c>
      <c r="J155" s="10"/>
      <c r="K155" s="43">
        <v>6.39</v>
      </c>
      <c r="L155" s="10" t="s">
        <v>96</v>
      </c>
      <c r="M155" s="44">
        <v>2.8500000000000001E-2</v>
      </c>
      <c r="N155" s="12">
        <v>2.0899999999999998E-2</v>
      </c>
      <c r="O155" s="11">
        <v>8395000</v>
      </c>
      <c r="P155" s="11">
        <v>106.34</v>
      </c>
      <c r="Q155" s="11">
        <v>8927.24</v>
      </c>
      <c r="R155" s="12">
        <v>1.23E-2</v>
      </c>
      <c r="S155" s="12">
        <v>1.1599999999999999E-2</v>
      </c>
      <c r="T155" s="12">
        <f>Q155/'סכום נכסי הקרן'!$C$42</f>
        <v>2.4549335585194484E-3</v>
      </c>
    </row>
    <row r="156" spans="2:20">
      <c r="B156" s="10" t="s">
        <v>373</v>
      </c>
      <c r="C156" s="43">
        <v>2260412</v>
      </c>
      <c r="D156" s="10" t="s">
        <v>138</v>
      </c>
      <c r="E156" s="10"/>
      <c r="F156" s="10">
        <v>226</v>
      </c>
      <c r="G156" s="10" t="s">
        <v>239</v>
      </c>
      <c r="H156" s="10" t="s">
        <v>360</v>
      </c>
      <c r="I156" s="10" t="s">
        <v>95</v>
      </c>
      <c r="J156" s="10"/>
      <c r="K156" s="43">
        <v>1.85</v>
      </c>
      <c r="L156" s="10" t="s">
        <v>96</v>
      </c>
      <c r="M156" s="44">
        <v>6.6000000000000003E-2</v>
      </c>
      <c r="N156" s="12">
        <v>1.8599999999999998E-2</v>
      </c>
      <c r="O156" s="11">
        <v>1378400</v>
      </c>
      <c r="P156" s="11">
        <v>109.05</v>
      </c>
      <c r="Q156" s="11">
        <v>1503.15</v>
      </c>
      <c r="R156" s="12">
        <v>1.1000000000000001E-3</v>
      </c>
      <c r="S156" s="12">
        <v>2E-3</v>
      </c>
      <c r="T156" s="12">
        <f>Q156/'סכום נכסי הקרן'!$C$42</f>
        <v>4.1335657812364285E-4</v>
      </c>
    </row>
    <row r="157" spans="2:20">
      <c r="B157" s="10" t="s">
        <v>374</v>
      </c>
      <c r="C157" s="43">
        <v>2260131</v>
      </c>
      <c r="D157" s="10" t="s">
        <v>138</v>
      </c>
      <c r="E157" s="10"/>
      <c r="F157" s="10">
        <v>226</v>
      </c>
      <c r="G157" s="10" t="s">
        <v>239</v>
      </c>
      <c r="H157" s="10" t="s">
        <v>360</v>
      </c>
      <c r="I157" s="10" t="s">
        <v>95</v>
      </c>
      <c r="J157" s="10"/>
      <c r="K157" s="43">
        <v>1.1399999999999999</v>
      </c>
      <c r="L157" s="10" t="s">
        <v>96</v>
      </c>
      <c r="M157" s="44">
        <v>4.65E-2</v>
      </c>
      <c r="N157" s="12">
        <v>8.6E-3</v>
      </c>
      <c r="O157" s="11">
        <v>5233.33</v>
      </c>
      <c r="P157" s="11">
        <v>127.32</v>
      </c>
      <c r="Q157" s="11">
        <v>6.66</v>
      </c>
      <c r="R157" s="12">
        <v>0</v>
      </c>
      <c r="S157" s="12">
        <v>0</v>
      </c>
      <c r="T157" s="12">
        <f>Q157/'סכום נכסי הקרן'!$C$42</f>
        <v>1.831457146860567E-6</v>
      </c>
    </row>
    <row r="158" spans="2:20">
      <c r="B158" s="10" t="s">
        <v>375</v>
      </c>
      <c r="C158" s="43">
        <v>4440079</v>
      </c>
      <c r="D158" s="10" t="s">
        <v>138</v>
      </c>
      <c r="E158" s="10"/>
      <c r="F158" s="10">
        <v>444</v>
      </c>
      <c r="G158" s="10" t="s">
        <v>239</v>
      </c>
      <c r="H158" s="10" t="s">
        <v>201</v>
      </c>
      <c r="I158" s="10" t="s">
        <v>240</v>
      </c>
      <c r="J158" s="10"/>
      <c r="K158" s="43">
        <v>0.15</v>
      </c>
      <c r="L158" s="10" t="s">
        <v>96</v>
      </c>
      <c r="M158" s="44">
        <v>4.7E-2</v>
      </c>
      <c r="N158" s="12">
        <v>7.4800000000000005E-2</v>
      </c>
      <c r="O158" s="11">
        <v>49555.88</v>
      </c>
      <c r="P158" s="11">
        <v>120.86</v>
      </c>
      <c r="Q158" s="11">
        <v>59.89</v>
      </c>
      <c r="R158" s="12">
        <v>2.2000000000000001E-3</v>
      </c>
      <c r="S158" s="12">
        <v>1E-4</v>
      </c>
      <c r="T158" s="12">
        <f>Q158/'סכום נכסי הקרן'!$C$42</f>
        <v>1.646936464346537E-5</v>
      </c>
    </row>
    <row r="159" spans="2:20">
      <c r="B159" s="10" t="s">
        <v>376</v>
      </c>
      <c r="C159" s="43">
        <v>2590255</v>
      </c>
      <c r="D159" s="10" t="s">
        <v>138</v>
      </c>
      <c r="E159" s="10"/>
      <c r="F159" s="10">
        <v>259</v>
      </c>
      <c r="G159" s="10" t="s">
        <v>273</v>
      </c>
      <c r="H159" s="10" t="s">
        <v>201</v>
      </c>
      <c r="I159" s="10" t="s">
        <v>95</v>
      </c>
      <c r="J159" s="10"/>
      <c r="K159" s="43">
        <v>1.94</v>
      </c>
      <c r="L159" s="10" t="s">
        <v>96</v>
      </c>
      <c r="M159" s="44">
        <v>4.8000000000000001E-2</v>
      </c>
      <c r="N159" s="12">
        <v>1.9300000000000001E-2</v>
      </c>
      <c r="O159" s="11">
        <v>1063269.78</v>
      </c>
      <c r="P159" s="11">
        <v>123.1</v>
      </c>
      <c r="Q159" s="11">
        <f>1308.89-85.75</f>
        <v>1223.1400000000001</v>
      </c>
      <c r="R159" s="12">
        <v>1.5E-3</v>
      </c>
      <c r="S159" s="12">
        <v>1.6999999999999999E-3</v>
      </c>
      <c r="T159" s="12">
        <f>Q159/'סכום נכסי הקרן'!$C$42</f>
        <v>3.3635562982147659E-4</v>
      </c>
    </row>
    <row r="160" spans="2:20">
      <c r="B160" s="10" t="s">
        <v>377</v>
      </c>
      <c r="C160" s="43">
        <v>1980317</v>
      </c>
      <c r="D160" s="10" t="s">
        <v>138</v>
      </c>
      <c r="E160" s="10"/>
      <c r="F160" s="10">
        <v>198</v>
      </c>
      <c r="G160" s="10" t="s">
        <v>239</v>
      </c>
      <c r="H160" s="10" t="s">
        <v>201</v>
      </c>
      <c r="I160" s="10" t="s">
        <v>240</v>
      </c>
      <c r="J160" s="10"/>
      <c r="K160" s="43">
        <v>3.23</v>
      </c>
      <c r="L160" s="10" t="s">
        <v>96</v>
      </c>
      <c r="M160" s="44">
        <v>7.0000000000000007E-2</v>
      </c>
      <c r="N160" s="12">
        <v>0.02</v>
      </c>
      <c r="O160" s="11">
        <v>3184888.82</v>
      </c>
      <c r="P160" s="11">
        <v>121.96</v>
      </c>
      <c r="Q160" s="11">
        <v>3884.29</v>
      </c>
      <c r="R160" s="12">
        <v>5.5999999999999999E-3</v>
      </c>
      <c r="S160" s="12">
        <v>5.0000000000000001E-3</v>
      </c>
      <c r="T160" s="12">
        <f>Q160/'סכום נכסי הקרן'!$C$42</f>
        <v>1.0681547569037584E-3</v>
      </c>
    </row>
    <row r="161" spans="2:20">
      <c r="B161" s="10" t="s">
        <v>378</v>
      </c>
      <c r="C161" s="43">
        <v>1980192</v>
      </c>
      <c r="D161" s="10" t="s">
        <v>138</v>
      </c>
      <c r="E161" s="10"/>
      <c r="F161" s="10">
        <v>198</v>
      </c>
      <c r="G161" s="10" t="s">
        <v>239</v>
      </c>
      <c r="H161" s="10" t="s">
        <v>201</v>
      </c>
      <c r="I161" s="10" t="s">
        <v>240</v>
      </c>
      <c r="J161" s="10"/>
      <c r="K161" s="43">
        <v>1.01</v>
      </c>
      <c r="L161" s="10" t="s">
        <v>96</v>
      </c>
      <c r="M161" s="44">
        <v>5.3499999999999999E-2</v>
      </c>
      <c r="N161" s="12">
        <v>1.24E-2</v>
      </c>
      <c r="O161" s="11">
        <v>1159227.95</v>
      </c>
      <c r="P161" s="11">
        <v>124.21</v>
      </c>
      <c r="Q161" s="11">
        <f>1439.88-312.75</f>
        <v>1127.1300000000001</v>
      </c>
      <c r="R161" s="12">
        <v>6.4999999999999997E-3</v>
      </c>
      <c r="S161" s="12">
        <v>1.9E-3</v>
      </c>
      <c r="T161" s="12">
        <f>Q161/'סכום נכסי הקרן'!$C$42</f>
        <v>3.0995349758873136E-4</v>
      </c>
    </row>
    <row r="162" spans="2:20">
      <c r="B162" s="10" t="s">
        <v>379</v>
      </c>
      <c r="C162" s="43">
        <v>1980390</v>
      </c>
      <c r="D162" s="10" t="s">
        <v>138</v>
      </c>
      <c r="E162" s="10"/>
      <c r="F162" s="10">
        <v>198</v>
      </c>
      <c r="G162" s="10" t="s">
        <v>239</v>
      </c>
      <c r="H162" s="10" t="s">
        <v>201</v>
      </c>
      <c r="I162" s="10" t="s">
        <v>240</v>
      </c>
      <c r="J162" s="10"/>
      <c r="K162" s="43">
        <v>7.34</v>
      </c>
      <c r="L162" s="10" t="s">
        <v>96</v>
      </c>
      <c r="M162" s="44">
        <v>2.4E-2</v>
      </c>
      <c r="N162" s="12">
        <v>2.8400000000000002E-2</v>
      </c>
      <c r="O162" s="11">
        <v>4833000</v>
      </c>
      <c r="P162" s="11">
        <v>97.63</v>
      </c>
      <c r="Q162" s="11">
        <v>4718.46</v>
      </c>
      <c r="R162" s="12">
        <v>8.0000000000000002E-3</v>
      </c>
      <c r="S162" s="12">
        <v>6.1000000000000004E-3</v>
      </c>
      <c r="T162" s="12">
        <f>Q162/'סכום נכסי הקרן'!$C$42</f>
        <v>1.2975461395158725E-3</v>
      </c>
    </row>
    <row r="163" spans="2:20">
      <c r="B163" s="10" t="s">
        <v>380</v>
      </c>
      <c r="C163" s="43">
        <v>1122092</v>
      </c>
      <c r="D163" s="10" t="s">
        <v>138</v>
      </c>
      <c r="E163" s="10"/>
      <c r="F163" s="10">
        <v>1187</v>
      </c>
      <c r="G163" s="10" t="s">
        <v>259</v>
      </c>
      <c r="H163" s="10" t="s">
        <v>381</v>
      </c>
      <c r="I163" s="10" t="s">
        <v>240</v>
      </c>
      <c r="J163" s="10"/>
      <c r="K163" s="43">
        <v>1.93</v>
      </c>
      <c r="L163" s="10" t="s">
        <v>96</v>
      </c>
      <c r="M163" s="44">
        <v>5.7000000000000002E-2</v>
      </c>
      <c r="N163" s="12">
        <v>2.7300000000000001E-2</v>
      </c>
      <c r="O163" s="11">
        <v>2436942.38</v>
      </c>
      <c r="P163" s="11">
        <v>110.68</v>
      </c>
      <c r="Q163" s="11">
        <f>2697.21-32.12</f>
        <v>2665.09</v>
      </c>
      <c r="R163" s="12">
        <v>1.9900000000000001E-2</v>
      </c>
      <c r="S163" s="12">
        <v>3.5000000000000001E-3</v>
      </c>
      <c r="T163" s="12">
        <f>Q163/'סכום נכסי הקרן'!$C$42</f>
        <v>7.3288260173072506E-4</v>
      </c>
    </row>
    <row r="164" spans="2:20">
      <c r="B164" s="10" t="s">
        <v>382</v>
      </c>
      <c r="C164" s="43">
        <v>1127513</v>
      </c>
      <c r="D164" s="10" t="s">
        <v>138</v>
      </c>
      <c r="E164" s="10"/>
      <c r="F164" s="10">
        <v>1467</v>
      </c>
      <c r="G164" s="10" t="s">
        <v>239</v>
      </c>
      <c r="H164" s="10" t="s">
        <v>381</v>
      </c>
      <c r="I164" s="10" t="s">
        <v>95</v>
      </c>
      <c r="J164" s="10"/>
      <c r="K164" s="43">
        <v>2.02</v>
      </c>
      <c r="L164" s="10" t="s">
        <v>96</v>
      </c>
      <c r="M164" s="44">
        <v>6.1499999999999999E-2</v>
      </c>
      <c r="N164" s="12">
        <v>3.15E-2</v>
      </c>
      <c r="O164" s="11">
        <v>2225220.06</v>
      </c>
      <c r="P164" s="11">
        <v>106.8</v>
      </c>
      <c r="Q164" s="11">
        <v>2376.54</v>
      </c>
      <c r="R164" s="12">
        <v>4.5499999999999999E-2</v>
      </c>
      <c r="S164" s="12">
        <v>3.0999999999999999E-3</v>
      </c>
      <c r="T164" s="12">
        <f>Q164/'סכום נכסי הקרן'!$C$42</f>
        <v>6.5353320837838018E-4</v>
      </c>
    </row>
    <row r="165" spans="2:20">
      <c r="B165" s="10" t="s">
        <v>384</v>
      </c>
      <c r="C165" s="43">
        <v>6390207</v>
      </c>
      <c r="D165" s="10" t="s">
        <v>138</v>
      </c>
      <c r="E165" s="10"/>
      <c r="F165" s="10">
        <v>639</v>
      </c>
      <c r="G165" s="10" t="s">
        <v>307</v>
      </c>
      <c r="H165" s="10" t="s">
        <v>383</v>
      </c>
      <c r="I165" s="10" t="s">
        <v>95</v>
      </c>
      <c r="J165" s="10"/>
      <c r="K165" s="43">
        <v>4.45</v>
      </c>
      <c r="L165" s="10" t="s">
        <v>96</v>
      </c>
      <c r="M165" s="44">
        <v>4.9500000000000002E-2</v>
      </c>
      <c r="N165" s="12">
        <v>4.5100000000000001E-2</v>
      </c>
      <c r="O165" s="11">
        <v>6428406.3899999997</v>
      </c>
      <c r="P165" s="11">
        <v>121.6</v>
      </c>
      <c r="Q165" s="11">
        <f>7816.94-164.98</f>
        <v>7651.96</v>
      </c>
      <c r="R165" s="12">
        <v>2.0999999999999999E-3</v>
      </c>
      <c r="S165" s="12">
        <v>1.0200000000000001E-2</v>
      </c>
      <c r="T165" s="12">
        <f>Q165/'סכום נכסי הקרן'!$C$42</f>
        <v>2.1042397641878653E-3</v>
      </c>
    </row>
    <row r="166" spans="2:20">
      <c r="B166" s="10" t="s">
        <v>385</v>
      </c>
      <c r="C166" s="43">
        <v>6390223</v>
      </c>
      <c r="D166" s="10" t="s">
        <v>138</v>
      </c>
      <c r="E166" s="10"/>
      <c r="F166" s="10">
        <v>639</v>
      </c>
      <c r="G166" s="10" t="s">
        <v>307</v>
      </c>
      <c r="H166" s="10" t="s">
        <v>383</v>
      </c>
      <c r="I166" s="10" t="s">
        <v>95</v>
      </c>
      <c r="J166" s="10"/>
      <c r="K166" s="43">
        <v>1.45</v>
      </c>
      <c r="L166" s="10" t="s">
        <v>96</v>
      </c>
      <c r="M166" s="44">
        <v>4.4499999999999998E-2</v>
      </c>
      <c r="N166" s="12">
        <v>2.5100000000000001E-2</v>
      </c>
      <c r="O166" s="11">
        <v>1825361.45</v>
      </c>
      <c r="P166" s="11">
        <v>125.04</v>
      </c>
      <c r="Q166" s="11">
        <v>2282.4299999999998</v>
      </c>
      <c r="R166" s="12">
        <v>1.95E-2</v>
      </c>
      <c r="S166" s="12">
        <v>3.0000000000000001E-3</v>
      </c>
      <c r="T166" s="12">
        <f>Q166/'סכום נכסי הקרן'!$C$42</f>
        <v>6.276535639202648E-4</v>
      </c>
    </row>
    <row r="167" spans="2:20">
      <c r="B167" s="10" t="s">
        <v>386</v>
      </c>
      <c r="C167" s="43">
        <v>1105535</v>
      </c>
      <c r="D167" s="10" t="s">
        <v>138</v>
      </c>
      <c r="E167" s="10"/>
      <c r="F167" s="10">
        <v>1154</v>
      </c>
      <c r="G167" s="10" t="s">
        <v>307</v>
      </c>
      <c r="H167" s="10" t="s">
        <v>387</v>
      </c>
      <c r="I167" s="10" t="s">
        <v>95</v>
      </c>
      <c r="J167" s="10"/>
      <c r="K167" s="43">
        <v>1.1399999999999999</v>
      </c>
      <c r="L167" s="10" t="s">
        <v>96</v>
      </c>
      <c r="M167" s="44">
        <v>4.4499999999999998E-2</v>
      </c>
      <c r="N167" s="12">
        <v>0.21379999999999999</v>
      </c>
      <c r="O167" s="11">
        <v>1.3</v>
      </c>
      <c r="P167" s="11">
        <v>103.6</v>
      </c>
      <c r="Q167" s="11">
        <v>0</v>
      </c>
      <c r="R167" s="12">
        <v>0</v>
      </c>
      <c r="S167" s="12">
        <v>0</v>
      </c>
      <c r="T167" s="12">
        <f>Q167/'סכום נכסי הקרן'!$C$42</f>
        <v>0</v>
      </c>
    </row>
    <row r="168" spans="2:20">
      <c r="B168" s="10" t="s">
        <v>388</v>
      </c>
      <c r="C168" s="43">
        <v>7980121</v>
      </c>
      <c r="D168" s="10" t="s">
        <v>138</v>
      </c>
      <c r="E168" s="10"/>
      <c r="F168" s="10">
        <v>798</v>
      </c>
      <c r="G168" s="10" t="s">
        <v>307</v>
      </c>
      <c r="H168" s="10" t="s">
        <v>389</v>
      </c>
      <c r="I168" s="10" t="s">
        <v>95</v>
      </c>
      <c r="J168" s="10"/>
      <c r="K168" s="43">
        <v>0.91</v>
      </c>
      <c r="L168" s="10" t="s">
        <v>96</v>
      </c>
      <c r="M168" s="44">
        <v>4.4999999999999998E-2</v>
      </c>
      <c r="N168" s="12">
        <v>0.104</v>
      </c>
      <c r="O168" s="11">
        <v>3223313.74</v>
      </c>
      <c r="P168" s="11">
        <v>118.81</v>
      </c>
      <c r="Q168" s="11">
        <v>3829.62</v>
      </c>
      <c r="R168" s="12">
        <v>6.0000000000000001E-3</v>
      </c>
      <c r="S168" s="12">
        <v>5.0000000000000001E-3</v>
      </c>
      <c r="T168" s="12">
        <f>Q168/'סכום נכסי הקרן'!$C$42</f>
        <v>1.0531208586726972E-3</v>
      </c>
    </row>
    <row r="169" spans="2:20">
      <c r="B169" s="10" t="s">
        <v>390</v>
      </c>
      <c r="C169" s="43">
        <v>1109503</v>
      </c>
      <c r="D169" s="10" t="s">
        <v>138</v>
      </c>
      <c r="E169" s="10"/>
      <c r="F169" s="10">
        <v>1476</v>
      </c>
      <c r="G169" s="10" t="s">
        <v>239</v>
      </c>
      <c r="H169" s="10" t="s">
        <v>389</v>
      </c>
      <c r="I169" s="10" t="s">
        <v>95</v>
      </c>
      <c r="J169" s="10"/>
      <c r="K169" s="43">
        <v>2.42</v>
      </c>
      <c r="L169" s="10" t="s">
        <v>96</v>
      </c>
      <c r="M169" s="44">
        <v>5.3999999999999999E-2</v>
      </c>
      <c r="N169" s="12">
        <v>0.1706</v>
      </c>
      <c r="O169" s="11">
        <v>1176098.94</v>
      </c>
      <c r="P169" s="11">
        <v>92.71</v>
      </c>
      <c r="Q169" s="11">
        <v>1090.3599999999999</v>
      </c>
      <c r="R169" s="12">
        <v>3.0000000000000001E-3</v>
      </c>
      <c r="S169" s="12">
        <v>1.4E-3</v>
      </c>
      <c r="T169" s="12">
        <f>Q169/'סכום נכסי הקרן'!$C$42</f>
        <v>2.9984198418181495E-4</v>
      </c>
    </row>
    <row r="170" spans="2:20">
      <c r="B170" s="10" t="s">
        <v>391</v>
      </c>
      <c r="C170" s="43">
        <v>6110480</v>
      </c>
      <c r="D170" s="10" t="s">
        <v>138</v>
      </c>
      <c r="E170" s="10"/>
      <c r="F170" s="10">
        <v>611</v>
      </c>
      <c r="G170" s="10" t="s">
        <v>239</v>
      </c>
      <c r="H170" s="10" t="s">
        <v>392</v>
      </c>
      <c r="I170" s="10" t="s">
        <v>240</v>
      </c>
      <c r="J170" s="10"/>
      <c r="K170" s="43">
        <v>3.92</v>
      </c>
      <c r="L170" s="10" t="s">
        <v>96</v>
      </c>
      <c r="M170" s="44">
        <v>5.9499999999999997E-2</v>
      </c>
      <c r="N170" s="12">
        <v>0.2291</v>
      </c>
      <c r="O170" s="11">
        <v>593691.03</v>
      </c>
      <c r="P170" s="11">
        <v>56.97</v>
      </c>
      <c r="Q170" s="11">
        <v>338.23</v>
      </c>
      <c r="R170" s="12">
        <v>1.8E-3</v>
      </c>
      <c r="S170" s="12">
        <v>4.0000000000000002E-4</v>
      </c>
      <c r="T170" s="12">
        <f>Q170/'סכום נכסי הקרן'!$C$42</f>
        <v>9.3011073691088531E-5</v>
      </c>
    </row>
    <row r="171" spans="2:20">
      <c r="B171" s="10" t="s">
        <v>393</v>
      </c>
      <c r="C171" s="43">
        <v>6110365</v>
      </c>
      <c r="D171" s="10" t="s">
        <v>138</v>
      </c>
      <c r="E171" s="10"/>
      <c r="F171" s="10">
        <v>611</v>
      </c>
      <c r="G171" s="10" t="s">
        <v>239</v>
      </c>
      <c r="H171" s="10" t="s">
        <v>392</v>
      </c>
      <c r="I171" s="10" t="s">
        <v>240</v>
      </c>
      <c r="J171" s="10"/>
      <c r="K171" s="43">
        <v>3.2</v>
      </c>
      <c r="L171" s="10" t="s">
        <v>96</v>
      </c>
      <c r="M171" s="44">
        <v>0.06</v>
      </c>
      <c r="N171" s="12">
        <v>0.2203</v>
      </c>
      <c r="O171" s="11">
        <v>7216915.0499999998</v>
      </c>
      <c r="P171" s="11">
        <v>73.05</v>
      </c>
      <c r="Q171" s="11">
        <v>5271.96</v>
      </c>
      <c r="R171" s="12">
        <v>5.4999999999999997E-3</v>
      </c>
      <c r="S171" s="12">
        <v>6.7999999999999996E-3</v>
      </c>
      <c r="T171" s="12">
        <f>Q171/'סכום נכסי הקרן'!$C$42</f>
        <v>1.4497550780725277E-3</v>
      </c>
    </row>
    <row r="172" spans="2:20">
      <c r="B172" s="10" t="s">
        <v>394</v>
      </c>
      <c r="C172" s="43">
        <v>1060110</v>
      </c>
      <c r="D172" s="10" t="s">
        <v>138</v>
      </c>
      <c r="E172" s="10"/>
      <c r="F172" s="10">
        <v>106</v>
      </c>
      <c r="G172" s="10" t="s">
        <v>239</v>
      </c>
      <c r="H172" s="10"/>
      <c r="I172" s="10"/>
      <c r="J172" s="10"/>
      <c r="K172" s="43">
        <v>2.73</v>
      </c>
      <c r="L172" s="10" t="s">
        <v>96</v>
      </c>
      <c r="M172" s="44">
        <v>5.8000000000000003E-2</v>
      </c>
      <c r="N172" s="12">
        <v>2.6200000000000001E-2</v>
      </c>
      <c r="O172" s="11">
        <v>942871</v>
      </c>
      <c r="P172" s="11">
        <v>109.49</v>
      </c>
      <c r="Q172" s="11">
        <v>1032.3499999999999</v>
      </c>
      <c r="R172" s="12">
        <v>2.4799999999999999E-2</v>
      </c>
      <c r="S172" s="12">
        <v>1.2999999999999999E-3</v>
      </c>
      <c r="T172" s="12">
        <f>Q172/'סכום נכסי הקרן'!$C$42</f>
        <v>2.8388960744166756E-4</v>
      </c>
    </row>
    <row r="173" spans="2:20">
      <c r="B173" s="10" t="s">
        <v>395</v>
      </c>
      <c r="C173" s="43">
        <v>7509953</v>
      </c>
      <c r="D173" s="10" t="s">
        <v>138</v>
      </c>
      <c r="E173" s="10"/>
      <c r="F173" s="10">
        <v>750</v>
      </c>
      <c r="G173" s="10" t="s">
        <v>273</v>
      </c>
      <c r="H173" s="10"/>
      <c r="I173" s="10"/>
      <c r="J173" s="10"/>
      <c r="K173" s="7"/>
      <c r="L173" s="10" t="s">
        <v>96</v>
      </c>
      <c r="M173" s="44">
        <v>7.0000000000000001E-3</v>
      </c>
      <c r="N173" s="7"/>
      <c r="O173" s="11">
        <v>19177.34</v>
      </c>
      <c r="P173" s="11">
        <v>0</v>
      </c>
      <c r="Q173" s="11">
        <v>0</v>
      </c>
      <c r="R173" s="12">
        <v>8.3999999999999995E-3</v>
      </c>
      <c r="S173" s="12">
        <v>0</v>
      </c>
      <c r="T173" s="12">
        <f>Q173/'סכום נכסי הקרן'!$C$42</f>
        <v>0</v>
      </c>
    </row>
    <row r="174" spans="2:20">
      <c r="B174" s="10" t="s">
        <v>396</v>
      </c>
      <c r="C174" s="43">
        <v>1010065</v>
      </c>
      <c r="D174" s="10" t="s">
        <v>138</v>
      </c>
      <c r="E174" s="10"/>
      <c r="F174" s="10">
        <v>101</v>
      </c>
      <c r="G174" s="10" t="s">
        <v>239</v>
      </c>
      <c r="H174" s="10"/>
      <c r="I174" s="10"/>
      <c r="J174" s="10"/>
      <c r="K174" s="7"/>
      <c r="L174" s="10" t="s">
        <v>96</v>
      </c>
      <c r="M174" s="7"/>
      <c r="N174" s="7"/>
      <c r="O174" s="11">
        <v>7333</v>
      </c>
      <c r="P174" s="11">
        <v>0.01</v>
      </c>
      <c r="Q174" s="11">
        <v>0</v>
      </c>
      <c r="R174" s="7"/>
      <c r="S174" s="12">
        <v>0</v>
      </c>
      <c r="T174" s="12">
        <f>Q174/'סכום נכסי הקרן'!$C$42</f>
        <v>0</v>
      </c>
    </row>
    <row r="175" spans="2:20">
      <c r="B175" s="10" t="s">
        <v>397</v>
      </c>
      <c r="C175" s="43">
        <v>1010016</v>
      </c>
      <c r="D175" s="10" t="s">
        <v>138</v>
      </c>
      <c r="E175" s="10"/>
      <c r="F175" s="10">
        <v>101</v>
      </c>
      <c r="G175" s="10" t="s">
        <v>239</v>
      </c>
      <c r="H175" s="10"/>
      <c r="I175" s="10"/>
      <c r="J175" s="10"/>
      <c r="K175" s="7"/>
      <c r="L175" s="10" t="s">
        <v>96</v>
      </c>
      <c r="M175" s="44">
        <v>4.2500000000000003E-2</v>
      </c>
      <c r="N175" s="7"/>
      <c r="O175" s="11">
        <v>14666</v>
      </c>
      <c r="P175" s="11">
        <v>0.01</v>
      </c>
      <c r="Q175" s="11">
        <v>0</v>
      </c>
      <c r="R175" s="12">
        <v>4.8999999999999998E-3</v>
      </c>
      <c r="S175" s="12">
        <v>0</v>
      </c>
      <c r="T175" s="12">
        <f>Q175/'סכום נכסי הקרן'!$C$42</f>
        <v>0</v>
      </c>
    </row>
    <row r="176" spans="2:20">
      <c r="B176" s="10" t="s">
        <v>398</v>
      </c>
      <c r="C176" s="43">
        <v>1087816</v>
      </c>
      <c r="D176" s="10" t="s">
        <v>138</v>
      </c>
      <c r="E176" s="10"/>
      <c r="F176" s="10">
        <v>1119</v>
      </c>
      <c r="G176" s="10" t="s">
        <v>184</v>
      </c>
      <c r="H176" s="10"/>
      <c r="I176" s="10"/>
      <c r="J176" s="10"/>
      <c r="K176" s="7"/>
      <c r="L176" s="10" t="s">
        <v>96</v>
      </c>
      <c r="M176" s="7"/>
      <c r="N176" s="7"/>
      <c r="O176" s="11">
        <v>2066.67</v>
      </c>
      <c r="P176" s="11">
        <v>0</v>
      </c>
      <c r="Q176" s="11">
        <v>0</v>
      </c>
      <c r="R176" s="7"/>
      <c r="S176" s="12">
        <v>0</v>
      </c>
      <c r="T176" s="12">
        <f>Q176/'סכום נכסי הקרן'!$C$42</f>
        <v>0</v>
      </c>
    </row>
    <row r="177" spans="2:20">
      <c r="B177" s="10" t="s">
        <v>399</v>
      </c>
      <c r="C177" s="43">
        <v>1085117</v>
      </c>
      <c r="D177" s="10" t="s">
        <v>138</v>
      </c>
      <c r="E177" s="10"/>
      <c r="F177" s="10">
        <v>1119</v>
      </c>
      <c r="G177" s="10" t="s">
        <v>239</v>
      </c>
      <c r="H177" s="10"/>
      <c r="I177" s="10"/>
      <c r="J177" s="10"/>
      <c r="K177" s="7"/>
      <c r="L177" s="10" t="s">
        <v>96</v>
      </c>
      <c r="M177" s="44">
        <v>6.5000000000000002E-2</v>
      </c>
      <c r="N177" s="7"/>
      <c r="O177" s="11">
        <v>11263.33</v>
      </c>
      <c r="P177" s="11">
        <v>0</v>
      </c>
      <c r="Q177" s="11">
        <v>0</v>
      </c>
      <c r="R177" s="12">
        <v>0</v>
      </c>
      <c r="S177" s="12">
        <v>0</v>
      </c>
      <c r="T177" s="12">
        <f>Q177/'סכום נכסי הקרן'!$C$42</f>
        <v>0</v>
      </c>
    </row>
    <row r="178" spans="2:20">
      <c r="B178" s="10" t="s">
        <v>400</v>
      </c>
      <c r="C178" s="43">
        <v>5650114</v>
      </c>
      <c r="D178" s="10" t="s">
        <v>138</v>
      </c>
      <c r="E178" s="10"/>
      <c r="F178" s="10">
        <v>565</v>
      </c>
      <c r="G178" s="10" t="s">
        <v>401</v>
      </c>
      <c r="H178" s="10"/>
      <c r="I178" s="10"/>
      <c r="J178" s="10"/>
      <c r="K178" s="43">
        <v>1.5</v>
      </c>
      <c r="L178" s="10" t="s">
        <v>96</v>
      </c>
      <c r="M178" s="44">
        <v>5.1499999999999997E-2</v>
      </c>
      <c r="N178" s="12">
        <v>8.8000000000000005E-3</v>
      </c>
      <c r="O178" s="11">
        <v>765503.37</v>
      </c>
      <c r="P178" s="11">
        <v>116.52</v>
      </c>
      <c r="Q178" s="11">
        <v>891.96</v>
      </c>
      <c r="R178" s="12">
        <v>2E-3</v>
      </c>
      <c r="S178" s="12">
        <v>1.1999999999999999E-3</v>
      </c>
      <c r="T178" s="12">
        <f>Q178/'סכום נכסי הקרן'!$C$42</f>
        <v>2.4528326076783051E-4</v>
      </c>
    </row>
    <row r="179" spans="2:20">
      <c r="B179" s="10" t="s">
        <v>402</v>
      </c>
      <c r="C179" s="43">
        <v>1127620</v>
      </c>
      <c r="D179" s="10" t="s">
        <v>138</v>
      </c>
      <c r="E179" s="10"/>
      <c r="F179" s="10">
        <v>2170</v>
      </c>
      <c r="G179" s="10" t="s">
        <v>403</v>
      </c>
      <c r="H179" s="10"/>
      <c r="I179" s="10"/>
      <c r="J179" s="10"/>
      <c r="K179" s="43">
        <v>1.68</v>
      </c>
      <c r="L179" s="10" t="s">
        <v>96</v>
      </c>
      <c r="M179" s="44">
        <v>5.3999999999999999E-2</v>
      </c>
      <c r="N179" s="12">
        <v>2.0199999999999999E-2</v>
      </c>
      <c r="O179" s="11">
        <v>2267160.1</v>
      </c>
      <c r="P179" s="11">
        <v>108.45</v>
      </c>
      <c r="Q179" s="11">
        <v>2458.7399999999998</v>
      </c>
      <c r="R179" s="12">
        <v>5.6899999999999999E-2</v>
      </c>
      <c r="S179" s="12">
        <v>3.2000000000000002E-3</v>
      </c>
      <c r="T179" s="12">
        <f>Q179/'סכום נכסי הקרן'!$C$42</f>
        <v>6.7613767947026276E-4</v>
      </c>
    </row>
    <row r="180" spans="2:20">
      <c r="B180" s="10" t="s">
        <v>404</v>
      </c>
      <c r="C180" s="43">
        <v>3480019</v>
      </c>
      <c r="D180" s="10" t="s">
        <v>138</v>
      </c>
      <c r="E180" s="10"/>
      <c r="F180" s="10">
        <v>348</v>
      </c>
      <c r="G180" s="10" t="s">
        <v>405</v>
      </c>
      <c r="H180" s="10"/>
      <c r="I180" s="10"/>
      <c r="J180" s="10"/>
      <c r="K180" s="7"/>
      <c r="L180" s="10" t="s">
        <v>96</v>
      </c>
      <c r="M180" s="44">
        <v>3.5000000000000003E-2</v>
      </c>
      <c r="N180" s="7"/>
      <c r="O180" s="11">
        <v>3168.59</v>
      </c>
      <c r="P180" s="11">
        <v>0</v>
      </c>
      <c r="Q180" s="11">
        <v>0</v>
      </c>
      <c r="R180" s="12">
        <v>2.8999999999999998E-3</v>
      </c>
      <c r="S180" s="12">
        <v>0</v>
      </c>
      <c r="T180" s="12">
        <f>Q180/'סכום נכסי הקרן'!$C$42</f>
        <v>0</v>
      </c>
    </row>
    <row r="181" spans="2:20">
      <c r="B181" s="10" t="s">
        <v>406</v>
      </c>
      <c r="C181" s="43">
        <v>3480035</v>
      </c>
      <c r="D181" s="10" t="s">
        <v>138</v>
      </c>
      <c r="E181" s="10"/>
      <c r="F181" s="10">
        <v>348</v>
      </c>
      <c r="G181" s="10" t="s">
        <v>405</v>
      </c>
      <c r="H181" s="10"/>
      <c r="I181" s="10"/>
      <c r="J181" s="10"/>
      <c r="K181" s="7"/>
      <c r="L181" s="10" t="s">
        <v>96</v>
      </c>
      <c r="M181" s="7"/>
      <c r="N181" s="7"/>
      <c r="O181" s="11">
        <v>1584.29</v>
      </c>
      <c r="P181" s="11">
        <v>0</v>
      </c>
      <c r="Q181" s="11">
        <v>0</v>
      </c>
      <c r="R181" s="7"/>
      <c r="S181" s="12">
        <v>0</v>
      </c>
      <c r="T181" s="12">
        <f>Q181/'סכום נכסי הקרן'!$C$42</f>
        <v>0</v>
      </c>
    </row>
    <row r="182" spans="2:20">
      <c r="B182" s="10" t="s">
        <v>407</v>
      </c>
      <c r="C182" s="43">
        <v>4790044</v>
      </c>
      <c r="D182" s="10" t="s">
        <v>138</v>
      </c>
      <c r="E182" s="10"/>
      <c r="F182" s="10">
        <v>479</v>
      </c>
      <c r="G182" s="10" t="s">
        <v>239</v>
      </c>
      <c r="H182" s="10"/>
      <c r="I182" s="10"/>
      <c r="J182" s="10"/>
      <c r="K182" s="7"/>
      <c r="L182" s="10" t="s">
        <v>96</v>
      </c>
      <c r="M182" s="7"/>
      <c r="N182" s="7"/>
      <c r="O182" s="11">
        <v>16241.2</v>
      </c>
      <c r="P182" s="11">
        <v>0</v>
      </c>
      <c r="Q182" s="11">
        <v>0</v>
      </c>
      <c r="R182" s="7"/>
      <c r="S182" s="12">
        <v>0</v>
      </c>
      <c r="T182" s="12">
        <f>Q182/'סכום נכסי הקרן'!$C$42</f>
        <v>0</v>
      </c>
    </row>
    <row r="183" spans="2:20">
      <c r="B183" s="10" t="s">
        <v>408</v>
      </c>
      <c r="C183" s="43">
        <v>4790051</v>
      </c>
      <c r="D183" s="10" t="s">
        <v>138</v>
      </c>
      <c r="E183" s="10"/>
      <c r="F183" s="10">
        <v>479</v>
      </c>
      <c r="G183" s="10" t="s">
        <v>239</v>
      </c>
      <c r="H183" s="10"/>
      <c r="I183" s="10"/>
      <c r="J183" s="10"/>
      <c r="K183" s="7"/>
      <c r="L183" s="10" t="s">
        <v>96</v>
      </c>
      <c r="M183" s="7"/>
      <c r="N183" s="7"/>
      <c r="O183" s="11">
        <v>19000</v>
      </c>
      <c r="P183" s="11">
        <v>0</v>
      </c>
      <c r="Q183" s="11">
        <v>0</v>
      </c>
      <c r="R183" s="7"/>
      <c r="S183" s="12">
        <v>0</v>
      </c>
      <c r="T183" s="12">
        <f>Q183/'סכום נכסי הקרן'!$C$42</f>
        <v>0</v>
      </c>
    </row>
    <row r="184" spans="2:20">
      <c r="B184" s="10" t="s">
        <v>409</v>
      </c>
      <c r="C184" s="43">
        <v>4790010</v>
      </c>
      <c r="D184" s="10" t="s">
        <v>138</v>
      </c>
      <c r="E184" s="10"/>
      <c r="F184" s="10">
        <v>479</v>
      </c>
      <c r="G184" s="10" t="s">
        <v>239</v>
      </c>
      <c r="H184" s="10"/>
      <c r="I184" s="10"/>
      <c r="J184" s="10"/>
      <c r="K184" s="7"/>
      <c r="L184" s="10" t="s">
        <v>96</v>
      </c>
      <c r="M184" s="44">
        <v>3.5000000000000003E-2</v>
      </c>
      <c r="N184" s="7"/>
      <c r="O184" s="11">
        <v>19000</v>
      </c>
      <c r="P184" s="11">
        <v>0</v>
      </c>
      <c r="Q184" s="11">
        <v>0</v>
      </c>
      <c r="R184" s="12">
        <v>5.4000000000000003E-3</v>
      </c>
      <c r="S184" s="12">
        <v>0</v>
      </c>
      <c r="T184" s="12">
        <f>Q184/'סכום נכסי הקרן'!$C$42</f>
        <v>0</v>
      </c>
    </row>
    <row r="185" spans="2:20">
      <c r="B185" s="10" t="s">
        <v>410</v>
      </c>
      <c r="C185" s="43">
        <v>3980018</v>
      </c>
      <c r="D185" s="10" t="s">
        <v>138</v>
      </c>
      <c r="E185" s="10"/>
      <c r="F185" s="10">
        <v>398</v>
      </c>
      <c r="G185" s="10" t="s">
        <v>411</v>
      </c>
      <c r="H185" s="10"/>
      <c r="I185" s="10"/>
      <c r="J185" s="10"/>
      <c r="K185" s="7"/>
      <c r="L185" s="10" t="s">
        <v>96</v>
      </c>
      <c r="M185" s="44">
        <v>0.03</v>
      </c>
      <c r="N185" s="7"/>
      <c r="O185" s="11">
        <v>15086</v>
      </c>
      <c r="P185" s="11">
        <v>0</v>
      </c>
      <c r="Q185" s="11">
        <v>0</v>
      </c>
      <c r="R185" s="12">
        <v>1.5E-3</v>
      </c>
      <c r="S185" s="12">
        <v>0</v>
      </c>
      <c r="T185" s="12">
        <f>Q185/'סכום נכסי הקרן'!$C$42</f>
        <v>0</v>
      </c>
    </row>
    <row r="186" spans="2:20">
      <c r="B186" s="10" t="s">
        <v>412</v>
      </c>
      <c r="C186" s="43">
        <v>3980042</v>
      </c>
      <c r="D186" s="10" t="s">
        <v>138</v>
      </c>
      <c r="E186" s="10"/>
      <c r="F186" s="10"/>
      <c r="G186" s="10" t="s">
        <v>411</v>
      </c>
      <c r="H186" s="10"/>
      <c r="I186" s="10"/>
      <c r="J186" s="10"/>
      <c r="K186" s="7"/>
      <c r="L186" s="10" t="s">
        <v>96</v>
      </c>
      <c r="M186" s="7"/>
      <c r="N186" s="7"/>
      <c r="O186" s="11">
        <v>14913</v>
      </c>
      <c r="P186" s="11">
        <v>0</v>
      </c>
      <c r="Q186" s="11">
        <v>0</v>
      </c>
      <c r="R186" s="7"/>
      <c r="S186" s="12">
        <v>0</v>
      </c>
      <c r="T186" s="12">
        <f>Q186/'סכום נכסי הקרן'!$C$42</f>
        <v>0</v>
      </c>
    </row>
    <row r="187" spans="2:20">
      <c r="B187" s="10" t="s">
        <v>413</v>
      </c>
      <c r="C187" s="43">
        <v>1122282</v>
      </c>
      <c r="D187" s="10" t="s">
        <v>138</v>
      </c>
      <c r="E187" s="10"/>
      <c r="F187" s="10">
        <v>1459</v>
      </c>
      <c r="G187" s="10" t="s">
        <v>330</v>
      </c>
      <c r="H187" s="10"/>
      <c r="I187" s="10"/>
      <c r="J187" s="10"/>
      <c r="K187" s="43">
        <v>0.56999999999999995</v>
      </c>
      <c r="L187" s="10" t="s">
        <v>96</v>
      </c>
      <c r="M187" s="44">
        <v>5.6500000000000002E-2</v>
      </c>
      <c r="N187" s="12">
        <v>8.1299999999999997E-2</v>
      </c>
      <c r="O187" s="11">
        <v>841438.54</v>
      </c>
      <c r="P187" s="11">
        <v>105.29</v>
      </c>
      <c r="Q187" s="11">
        <v>885.95</v>
      </c>
      <c r="R187" s="12">
        <v>2.0899999999999998E-2</v>
      </c>
      <c r="S187" s="12">
        <v>1.1999999999999999E-3</v>
      </c>
      <c r="T187" s="12">
        <f>Q187/'סכום נכסי הקרן'!$C$42</f>
        <v>2.4363054943860651E-4</v>
      </c>
    </row>
    <row r="188" spans="2:20">
      <c r="B188" s="10" t="s">
        <v>414</v>
      </c>
      <c r="C188" s="43">
        <v>1105246</v>
      </c>
      <c r="D188" s="10" t="s">
        <v>138</v>
      </c>
      <c r="E188" s="10"/>
      <c r="F188" s="10">
        <v>1469</v>
      </c>
      <c r="G188" s="10" t="s">
        <v>239</v>
      </c>
      <c r="H188" s="10"/>
      <c r="I188" s="10"/>
      <c r="J188" s="10"/>
      <c r="K188" s="7"/>
      <c r="L188" s="10" t="s">
        <v>96</v>
      </c>
      <c r="M188" s="44">
        <v>7.0000000000000007E-2</v>
      </c>
      <c r="N188" s="7"/>
      <c r="O188" s="11">
        <v>157935</v>
      </c>
      <c r="P188" s="11">
        <v>16</v>
      </c>
      <c r="Q188" s="11">
        <v>25.27</v>
      </c>
      <c r="R188" s="12">
        <v>1.6000000000000001E-3</v>
      </c>
      <c r="S188" s="12">
        <v>0</v>
      </c>
      <c r="T188" s="12">
        <f>Q188/'סכום נכסי הקרן'!$C$42</f>
        <v>6.9490874025775561E-6</v>
      </c>
    </row>
    <row r="189" spans="2:20">
      <c r="B189" s="10" t="s">
        <v>415</v>
      </c>
      <c r="C189" s="43">
        <v>3590015</v>
      </c>
      <c r="D189" s="10" t="s">
        <v>138</v>
      </c>
      <c r="E189" s="10"/>
      <c r="F189" s="10">
        <v>359</v>
      </c>
      <c r="G189" s="10" t="s">
        <v>239</v>
      </c>
      <c r="H189" s="10"/>
      <c r="I189" s="10"/>
      <c r="J189" s="10"/>
      <c r="K189" s="7"/>
      <c r="L189" s="10" t="s">
        <v>96</v>
      </c>
      <c r="M189" s="44">
        <v>0.03</v>
      </c>
      <c r="N189" s="7"/>
      <c r="O189" s="11">
        <v>5583.59</v>
      </c>
      <c r="P189" s="11">
        <v>0</v>
      </c>
      <c r="Q189" s="11">
        <v>0</v>
      </c>
      <c r="R189" s="12">
        <v>1.5E-3</v>
      </c>
      <c r="S189" s="12">
        <v>0</v>
      </c>
      <c r="T189" s="12">
        <f>Q189/'סכום נכסי הקרן'!$C$42</f>
        <v>0</v>
      </c>
    </row>
    <row r="190" spans="2:20">
      <c r="B190" s="10" t="s">
        <v>416</v>
      </c>
      <c r="C190" s="43">
        <v>1134493</v>
      </c>
      <c r="D190" s="10" t="s">
        <v>138</v>
      </c>
      <c r="E190" s="10"/>
      <c r="F190" s="10">
        <v>2009</v>
      </c>
      <c r="G190" s="10" t="s">
        <v>330</v>
      </c>
      <c r="H190" s="10"/>
      <c r="I190" s="10"/>
      <c r="J190" s="10"/>
      <c r="K190" s="43">
        <v>4.84</v>
      </c>
      <c r="L190" s="10" t="s">
        <v>96</v>
      </c>
      <c r="M190" s="44">
        <v>0.02</v>
      </c>
      <c r="N190" s="12">
        <v>7.8799999999999995E-2</v>
      </c>
      <c r="O190" s="11">
        <v>1.47</v>
      </c>
      <c r="P190" s="11">
        <v>75.8</v>
      </c>
      <c r="Q190" s="11">
        <v>0</v>
      </c>
      <c r="R190" s="12">
        <v>0</v>
      </c>
      <c r="S190" s="12">
        <v>0</v>
      </c>
      <c r="T190" s="12">
        <f>Q190/'סכום נכסי הקרן'!$C$42</f>
        <v>0</v>
      </c>
    </row>
    <row r="191" spans="2:20">
      <c r="B191" s="10"/>
      <c r="C191" s="43"/>
      <c r="D191" s="10"/>
      <c r="E191" s="10"/>
      <c r="F191" s="10"/>
      <c r="G191" s="10"/>
      <c r="H191" s="10"/>
      <c r="I191" s="10"/>
      <c r="J191" s="10"/>
      <c r="K191" s="43"/>
      <c r="L191" s="10"/>
      <c r="M191" s="44"/>
      <c r="N191" s="12"/>
      <c r="O191" s="11"/>
      <c r="P191" s="11"/>
      <c r="Q191" s="11"/>
      <c r="R191" s="12"/>
      <c r="S191" s="12"/>
      <c r="T191" s="12"/>
    </row>
    <row r="192" spans="2:20">
      <c r="B192" s="39" t="s">
        <v>417</v>
      </c>
      <c r="C192" s="40"/>
      <c r="D192" s="39"/>
      <c r="E192" s="39"/>
      <c r="F192" s="39"/>
      <c r="G192" s="39"/>
      <c r="H192" s="39"/>
      <c r="I192" s="39"/>
      <c r="J192" s="39"/>
      <c r="K192" s="40"/>
      <c r="L192" s="39"/>
      <c r="M192" s="7"/>
      <c r="N192" s="41"/>
      <c r="O192" s="42">
        <f>SUM(O193:O282)</f>
        <v>162104575.44</v>
      </c>
      <c r="P192" s="42">
        <f t="shared" ref="P192:T192" si="0">SUM(P193:P282)</f>
        <v>9449.1899999999969</v>
      </c>
      <c r="Q192" s="42">
        <f t="shared" si="0"/>
        <v>166675.02789999999</v>
      </c>
      <c r="R192" s="42"/>
      <c r="S192" s="51">
        <f t="shared" si="0"/>
        <v>0.22090000000000001</v>
      </c>
      <c r="T192" s="51">
        <f t="shared" si="0"/>
        <v>4.5834560217813708E-2</v>
      </c>
    </row>
    <row r="193" spans="2:20">
      <c r="B193" s="10" t="s">
        <v>418</v>
      </c>
      <c r="C193" s="43">
        <v>6040323</v>
      </c>
      <c r="D193" s="10" t="s">
        <v>138</v>
      </c>
      <c r="E193" s="10"/>
      <c r="F193" s="10">
        <v>604</v>
      </c>
      <c r="G193" s="10" t="s">
        <v>220</v>
      </c>
      <c r="H193" s="10" t="s">
        <v>221</v>
      </c>
      <c r="I193" s="10" t="s">
        <v>95</v>
      </c>
      <c r="J193" s="10"/>
      <c r="K193" s="43">
        <v>6.54</v>
      </c>
      <c r="L193" s="10" t="s">
        <v>96</v>
      </c>
      <c r="M193" s="44">
        <v>3.0099999999999998E-2</v>
      </c>
      <c r="N193" s="12">
        <v>2.47E-2</v>
      </c>
      <c r="O193" s="11">
        <v>1171000</v>
      </c>
      <c r="P193" s="11">
        <v>104.4</v>
      </c>
      <c r="Q193" s="11">
        <v>1222.52</v>
      </c>
      <c r="R193" s="12">
        <v>1E-3</v>
      </c>
      <c r="S193" s="12">
        <v>1.6000000000000001E-3</v>
      </c>
      <c r="T193" s="12">
        <f>Q193/'סכום נכסי הקרן'!$C$42</f>
        <v>3.3618513381080783E-4</v>
      </c>
    </row>
    <row r="194" spans="2:20">
      <c r="B194" s="10" t="s">
        <v>419</v>
      </c>
      <c r="C194" s="43">
        <v>2310134</v>
      </c>
      <c r="D194" s="10" t="s">
        <v>138</v>
      </c>
      <c r="E194" s="10"/>
      <c r="F194" s="10">
        <v>231</v>
      </c>
      <c r="G194" s="10" t="s">
        <v>220</v>
      </c>
      <c r="H194" s="10" t="s">
        <v>221</v>
      </c>
      <c r="I194" s="10" t="s">
        <v>95</v>
      </c>
      <c r="J194" s="10"/>
      <c r="K194" s="43">
        <v>3.27</v>
      </c>
      <c r="L194" s="10" t="s">
        <v>96</v>
      </c>
      <c r="M194" s="44">
        <v>2.7400000000000001E-2</v>
      </c>
      <c r="N194" s="12">
        <v>1.4E-2</v>
      </c>
      <c r="O194" s="11">
        <v>300000</v>
      </c>
      <c r="P194" s="11">
        <v>106.03</v>
      </c>
      <c r="Q194" s="11">
        <v>318.08999999999997</v>
      </c>
      <c r="R194" s="12">
        <v>1E-4</v>
      </c>
      <c r="S194" s="12">
        <v>4.0000000000000002E-4</v>
      </c>
      <c r="T194" s="12">
        <f>Q194/'סכום נכסי הקרן'!$C$42</f>
        <v>8.7472703280011666E-5</v>
      </c>
    </row>
    <row r="195" spans="2:20">
      <c r="B195" s="10" t="s">
        <v>420</v>
      </c>
      <c r="C195" s="43">
        <v>2310175</v>
      </c>
      <c r="D195" s="10" t="s">
        <v>138</v>
      </c>
      <c r="E195" s="10"/>
      <c r="F195" s="10">
        <v>231</v>
      </c>
      <c r="G195" s="10" t="s">
        <v>220</v>
      </c>
      <c r="H195" s="10" t="s">
        <v>221</v>
      </c>
      <c r="I195" s="10" t="s">
        <v>95</v>
      </c>
      <c r="J195" s="10"/>
      <c r="K195" s="43">
        <v>5.09</v>
      </c>
      <c r="L195" s="10" t="s">
        <v>96</v>
      </c>
      <c r="M195" s="44">
        <v>2.47E-2</v>
      </c>
      <c r="N195" s="12">
        <v>2.0299999999999999E-2</v>
      </c>
      <c r="O195" s="11">
        <v>2449000</v>
      </c>
      <c r="P195" s="11">
        <v>103.64</v>
      </c>
      <c r="Q195" s="11">
        <v>2538.14</v>
      </c>
      <c r="R195" s="12">
        <v>1.1999999999999999E-3</v>
      </c>
      <c r="S195" s="12">
        <v>3.3E-3</v>
      </c>
      <c r="T195" s="12">
        <f>Q195/'סכום נכסי הקרן'!$C$42</f>
        <v>6.9797216857848032E-4</v>
      </c>
    </row>
    <row r="196" spans="2:20">
      <c r="B196" s="10" t="s">
        <v>421</v>
      </c>
      <c r="C196" s="43">
        <v>1940485</v>
      </c>
      <c r="D196" s="10" t="s">
        <v>138</v>
      </c>
      <c r="E196" s="10"/>
      <c r="F196" s="10">
        <v>194</v>
      </c>
      <c r="G196" s="10" t="s">
        <v>220</v>
      </c>
      <c r="H196" s="10" t="s">
        <v>221</v>
      </c>
      <c r="I196" s="10" t="s">
        <v>95</v>
      </c>
      <c r="J196" s="10"/>
      <c r="K196" s="43">
        <v>1.39</v>
      </c>
      <c r="L196" s="10" t="s">
        <v>96</v>
      </c>
      <c r="M196" s="44">
        <v>5.8999999999999997E-2</v>
      </c>
      <c r="N196" s="12">
        <v>7.7999999999999996E-3</v>
      </c>
      <c r="O196" s="11">
        <v>6490000</v>
      </c>
      <c r="P196" s="11">
        <v>107.68</v>
      </c>
      <c r="Q196" s="11">
        <v>6988.43</v>
      </c>
      <c r="R196" s="12">
        <v>4.0000000000000001E-3</v>
      </c>
      <c r="S196" s="12">
        <v>9.1000000000000004E-3</v>
      </c>
      <c r="T196" s="12">
        <f>Q196/'סכום נכסי הקרן'!$C$42</f>
        <v>1.9217732836088277E-3</v>
      </c>
    </row>
    <row r="197" spans="2:20">
      <c r="B197" s="10" t="s">
        <v>422</v>
      </c>
      <c r="C197" s="43">
        <v>1119635</v>
      </c>
      <c r="D197" s="10" t="s">
        <v>138</v>
      </c>
      <c r="E197" s="10"/>
      <c r="F197" s="10">
        <v>1040</v>
      </c>
      <c r="G197" s="10" t="s">
        <v>403</v>
      </c>
      <c r="H197" s="10" t="s">
        <v>94</v>
      </c>
      <c r="I197" s="10" t="s">
        <v>240</v>
      </c>
      <c r="J197" s="10"/>
      <c r="K197" s="43">
        <v>1.95</v>
      </c>
      <c r="L197" s="10" t="s">
        <v>96</v>
      </c>
      <c r="M197" s="44">
        <v>4.8399999999999999E-2</v>
      </c>
      <c r="N197" s="12">
        <v>9.4000000000000004E-3</v>
      </c>
      <c r="O197" s="11">
        <v>2793325.39</v>
      </c>
      <c r="P197" s="11">
        <v>107.7</v>
      </c>
      <c r="Q197" s="11">
        <f>3008.41-26.81</f>
        <v>2981.6</v>
      </c>
      <c r="R197" s="12">
        <v>3.3E-3</v>
      </c>
      <c r="S197" s="12">
        <v>3.8999999999999998E-3</v>
      </c>
      <c r="T197" s="12">
        <f>Q197/'סכום נכסי הקרן'!$C$42</f>
        <v>8.1992081517709696E-4</v>
      </c>
    </row>
    <row r="198" spans="2:20">
      <c r="B198" s="10" t="s">
        <v>423</v>
      </c>
      <c r="C198" s="43">
        <v>1134212</v>
      </c>
      <c r="D198" s="10" t="s">
        <v>138</v>
      </c>
      <c r="E198" s="10"/>
      <c r="F198" s="10">
        <v>1153</v>
      </c>
      <c r="G198" s="10" t="s">
        <v>220</v>
      </c>
      <c r="H198" s="10" t="s">
        <v>94</v>
      </c>
      <c r="I198" s="10" t="s">
        <v>95</v>
      </c>
      <c r="J198" s="10"/>
      <c r="K198" s="43">
        <v>2.93</v>
      </c>
      <c r="L198" s="10" t="s">
        <v>96</v>
      </c>
      <c r="M198" s="44">
        <v>1.95E-2</v>
      </c>
      <c r="N198" s="12">
        <v>1.34E-2</v>
      </c>
      <c r="O198" s="11">
        <v>4708224</v>
      </c>
      <c r="P198" s="11">
        <v>103.68</v>
      </c>
      <c r="Q198" s="11">
        <v>4881.49</v>
      </c>
      <c r="R198" s="12">
        <v>6.8999999999999999E-3</v>
      </c>
      <c r="S198" s="12">
        <v>6.3E-3</v>
      </c>
      <c r="T198" s="12">
        <f>Q198/'סכום נכסי הקרן'!$C$42</f>
        <v>1.342378340514773E-3</v>
      </c>
    </row>
    <row r="199" spans="2:20">
      <c r="B199" s="10" t="s">
        <v>424</v>
      </c>
      <c r="C199" s="43">
        <v>6040281</v>
      </c>
      <c r="D199" s="10" t="s">
        <v>138</v>
      </c>
      <c r="E199" s="10"/>
      <c r="F199" s="10">
        <v>604</v>
      </c>
      <c r="G199" s="10" t="s">
        <v>220</v>
      </c>
      <c r="H199" s="10" t="s">
        <v>94</v>
      </c>
      <c r="I199" s="10" t="s">
        <v>95</v>
      </c>
      <c r="J199" s="10"/>
      <c r="K199" s="43">
        <v>0.7</v>
      </c>
      <c r="L199" s="10" t="s">
        <v>96</v>
      </c>
      <c r="M199" s="44">
        <v>5.3999999999999999E-2</v>
      </c>
      <c r="N199" s="12">
        <v>2.7000000000000001E-3</v>
      </c>
      <c r="O199" s="11">
        <v>1712457</v>
      </c>
      <c r="P199" s="11">
        <v>105.2</v>
      </c>
      <c r="Q199" s="11">
        <v>1801.5</v>
      </c>
      <c r="R199" s="12">
        <v>8.0000000000000004E-4</v>
      </c>
      <c r="S199" s="12">
        <v>2.3E-3</v>
      </c>
      <c r="T199" s="12">
        <f>Q199/'סכום נכסי הקרן'!$C$42</f>
        <v>4.9540090841881555E-4</v>
      </c>
    </row>
    <row r="200" spans="2:20">
      <c r="B200" s="10" t="s">
        <v>425</v>
      </c>
      <c r="C200" s="43">
        <v>1940410</v>
      </c>
      <c r="D200" s="10" t="s">
        <v>138</v>
      </c>
      <c r="E200" s="10"/>
      <c r="F200" s="10">
        <v>194</v>
      </c>
      <c r="G200" s="10" t="s">
        <v>220</v>
      </c>
      <c r="H200" s="10" t="s">
        <v>94</v>
      </c>
      <c r="I200" s="10" t="s">
        <v>95</v>
      </c>
      <c r="J200" s="10"/>
      <c r="K200" s="43">
        <v>2.12</v>
      </c>
      <c r="L200" s="10" t="s">
        <v>96</v>
      </c>
      <c r="M200" s="44">
        <v>6.0999999999999999E-2</v>
      </c>
      <c r="N200" s="12">
        <v>1.11E-2</v>
      </c>
      <c r="O200" s="11">
        <v>1730000</v>
      </c>
      <c r="P200" s="11">
        <v>115.55</v>
      </c>
      <c r="Q200" s="11">
        <v>1999.02</v>
      </c>
      <c r="R200" s="12">
        <v>1E-3</v>
      </c>
      <c r="S200" s="12">
        <v>2.5999999999999999E-3</v>
      </c>
      <c r="T200" s="12">
        <f>Q200/'סכום נכסי הקרן'!$C$42</f>
        <v>5.4971763749507661E-4</v>
      </c>
    </row>
    <row r="201" spans="2:20">
      <c r="B201" s="10" t="s">
        <v>426</v>
      </c>
      <c r="C201" s="43">
        <v>1940436</v>
      </c>
      <c r="D201" s="10" t="s">
        <v>138</v>
      </c>
      <c r="E201" s="10"/>
      <c r="F201" s="10">
        <v>194</v>
      </c>
      <c r="G201" s="10" t="s">
        <v>220</v>
      </c>
      <c r="H201" s="10" t="s">
        <v>94</v>
      </c>
      <c r="I201" s="10" t="s">
        <v>95</v>
      </c>
      <c r="J201" s="10"/>
      <c r="K201" s="43">
        <v>0.67</v>
      </c>
      <c r="L201" s="10" t="s">
        <v>96</v>
      </c>
      <c r="M201" s="44">
        <v>2.478E-2</v>
      </c>
      <c r="N201" s="12">
        <v>2.8E-3</v>
      </c>
      <c r="O201" s="11">
        <v>85126</v>
      </c>
      <c r="P201" s="11">
        <v>101.67</v>
      </c>
      <c r="Q201" s="11">
        <v>86.55</v>
      </c>
      <c r="R201" s="12">
        <v>1E-4</v>
      </c>
      <c r="S201" s="12">
        <v>1E-4</v>
      </c>
      <c r="T201" s="12">
        <f>Q201/'סכום נכסי הקרן'!$C$42</f>
        <v>2.3800693102219528E-5</v>
      </c>
    </row>
    <row r="202" spans="2:20">
      <c r="B202" s="10" t="s">
        <v>427</v>
      </c>
      <c r="C202" s="43">
        <v>1134980</v>
      </c>
      <c r="D202" s="10" t="s">
        <v>138</v>
      </c>
      <c r="E202" s="10"/>
      <c r="F202" s="10">
        <v>1641</v>
      </c>
      <c r="G202" s="10" t="s">
        <v>356</v>
      </c>
      <c r="H202" s="10" t="s">
        <v>94</v>
      </c>
      <c r="I202" s="10" t="s">
        <v>95</v>
      </c>
      <c r="J202" s="10"/>
      <c r="K202" s="43">
        <v>1.97</v>
      </c>
      <c r="L202" s="10" t="s">
        <v>96</v>
      </c>
      <c r="M202" s="44">
        <v>1.24E-2</v>
      </c>
      <c r="N202" s="12">
        <v>1.0200000000000001E-2</v>
      </c>
      <c r="O202" s="11">
        <v>1277000</v>
      </c>
      <c r="P202" s="11">
        <v>100.75</v>
      </c>
      <c r="Q202" s="11">
        <v>1286.58</v>
      </c>
      <c r="R202" s="12">
        <v>2.2000000000000001E-3</v>
      </c>
      <c r="S202" s="12">
        <v>1.6999999999999999E-3</v>
      </c>
      <c r="T202" s="12">
        <f>Q202/'סכום נכסי הקרן'!$C$42</f>
        <v>3.53801221622803E-4</v>
      </c>
    </row>
    <row r="203" spans="2:20">
      <c r="B203" s="10" t="s">
        <v>428</v>
      </c>
      <c r="C203" s="43">
        <v>2300168</v>
      </c>
      <c r="D203" s="10" t="s">
        <v>138</v>
      </c>
      <c r="E203" s="10"/>
      <c r="F203" s="10">
        <v>230</v>
      </c>
      <c r="G203" s="10" t="s">
        <v>247</v>
      </c>
      <c r="H203" s="10" t="s">
        <v>99</v>
      </c>
      <c r="I203" s="10" t="s">
        <v>95</v>
      </c>
      <c r="J203" s="10"/>
      <c r="K203" s="43">
        <v>0.42</v>
      </c>
      <c r="L203" s="10" t="s">
        <v>96</v>
      </c>
      <c r="M203" s="44">
        <v>5.7000000000000002E-2</v>
      </c>
      <c r="N203" s="12">
        <v>2.5000000000000001E-3</v>
      </c>
      <c r="O203" s="11">
        <v>492435.47</v>
      </c>
      <c r="P203" s="11">
        <v>102.74</v>
      </c>
      <c r="Q203" s="11">
        <v>505.93</v>
      </c>
      <c r="R203" s="12">
        <v>1.1000000000000001E-3</v>
      </c>
      <c r="S203" s="12">
        <v>6.9999999999999999E-4</v>
      </c>
      <c r="T203" s="12">
        <f>Q203/'סכום נכסי הקרן'!$C$42</f>
        <v>1.3912749464131631E-4</v>
      </c>
    </row>
    <row r="204" spans="2:20">
      <c r="B204" s="10" t="s">
        <v>429</v>
      </c>
      <c r="C204" s="43">
        <v>6910137</v>
      </c>
      <c r="D204" s="10" t="s">
        <v>138</v>
      </c>
      <c r="E204" s="10"/>
      <c r="F204" s="10">
        <v>691</v>
      </c>
      <c r="G204" s="10" t="s">
        <v>220</v>
      </c>
      <c r="H204" s="10" t="s">
        <v>99</v>
      </c>
      <c r="I204" s="10" t="s">
        <v>95</v>
      </c>
      <c r="J204" s="10"/>
      <c r="K204" s="43">
        <v>3.59</v>
      </c>
      <c r="L204" s="10" t="s">
        <v>96</v>
      </c>
      <c r="M204" s="44">
        <v>6.4000000000000001E-2</v>
      </c>
      <c r="N204" s="12">
        <v>1.54E-2</v>
      </c>
      <c r="O204" s="11">
        <v>714040</v>
      </c>
      <c r="P204" s="11">
        <v>118.88</v>
      </c>
      <c r="Q204" s="11">
        <v>848.85</v>
      </c>
      <c r="R204" s="12">
        <v>2.2000000000000001E-3</v>
      </c>
      <c r="S204" s="12">
        <v>1.1000000000000001E-3</v>
      </c>
      <c r="T204" s="12">
        <f>Q204/'סכום נכסי הקרן'!$C$42</f>
        <v>2.334282881550439E-4</v>
      </c>
    </row>
    <row r="205" spans="2:20">
      <c r="B205" s="10" t="s">
        <v>430</v>
      </c>
      <c r="C205" s="43">
        <v>7480031</v>
      </c>
      <c r="D205" s="10" t="s">
        <v>138</v>
      </c>
      <c r="E205" s="10"/>
      <c r="F205" s="10">
        <v>748</v>
      </c>
      <c r="G205" s="10" t="s">
        <v>220</v>
      </c>
      <c r="H205" s="10" t="s">
        <v>99</v>
      </c>
      <c r="I205" s="10" t="s">
        <v>95</v>
      </c>
      <c r="J205" s="10"/>
      <c r="K205" s="43">
        <v>1.1499999999999999</v>
      </c>
      <c r="L205" s="10" t="s">
        <v>96</v>
      </c>
      <c r="M205" s="44">
        <v>6.0999999999999999E-2</v>
      </c>
      <c r="N205" s="12">
        <v>7.4999999999999997E-3</v>
      </c>
      <c r="O205" s="11">
        <v>4177157.4</v>
      </c>
      <c r="P205" s="11">
        <v>111.24</v>
      </c>
      <c r="Q205" s="11">
        <f>4646.67-0.55</f>
        <v>4646.12</v>
      </c>
      <c r="R205" s="12">
        <v>9.2999999999999992E-3</v>
      </c>
      <c r="S205" s="12">
        <v>6.0000000000000001E-3</v>
      </c>
      <c r="T205" s="12">
        <f>Q205/'סכום נכסי הקרן'!$C$42</f>
        <v>1.2776531049807534E-3</v>
      </c>
    </row>
    <row r="206" spans="2:20">
      <c r="B206" s="10" t="s">
        <v>431</v>
      </c>
      <c r="C206" s="43">
        <v>7480106</v>
      </c>
      <c r="D206" s="10" t="s">
        <v>138</v>
      </c>
      <c r="E206" s="10"/>
      <c r="F206" s="10">
        <v>748</v>
      </c>
      <c r="G206" s="10" t="s">
        <v>220</v>
      </c>
      <c r="H206" s="10" t="s">
        <v>99</v>
      </c>
      <c r="I206" s="10" t="s">
        <v>95</v>
      </c>
      <c r="J206" s="10"/>
      <c r="K206" s="43">
        <v>0.67</v>
      </c>
      <c r="L206" s="10" t="s">
        <v>96</v>
      </c>
      <c r="M206" s="44">
        <v>2.1700000000000001E-2</v>
      </c>
      <c r="N206" s="12">
        <v>2.5999999999999999E-3</v>
      </c>
      <c r="O206" s="11">
        <v>519000</v>
      </c>
      <c r="P206" s="11">
        <v>101.45</v>
      </c>
      <c r="Q206" s="11">
        <v>526.53</v>
      </c>
      <c r="R206" s="12">
        <v>6.9999999999999999E-4</v>
      </c>
      <c r="S206" s="12">
        <v>6.9999999999999999E-4</v>
      </c>
      <c r="T206" s="12">
        <f>Q206/'סכום נכסי הקרן'!$C$42</f>
        <v>1.4479236209256671E-4</v>
      </c>
    </row>
    <row r="207" spans="2:20">
      <c r="B207" s="10" t="s">
        <v>432</v>
      </c>
      <c r="C207" s="43">
        <v>4160156</v>
      </c>
      <c r="D207" s="10" t="s">
        <v>138</v>
      </c>
      <c r="E207" s="10"/>
      <c r="F207" s="10">
        <v>416</v>
      </c>
      <c r="G207" s="10" t="s">
        <v>239</v>
      </c>
      <c r="H207" s="10" t="s">
        <v>99</v>
      </c>
      <c r="I207" s="10" t="s">
        <v>95</v>
      </c>
      <c r="J207" s="10"/>
      <c r="K207" s="43">
        <v>6.59</v>
      </c>
      <c r="L207" s="10" t="s">
        <v>96</v>
      </c>
      <c r="M207" s="44">
        <v>2.5499999999999998E-2</v>
      </c>
      <c r="N207" s="12">
        <v>3.2300000000000002E-2</v>
      </c>
      <c r="O207" s="11">
        <v>550000</v>
      </c>
      <c r="P207" s="11">
        <v>95.84</v>
      </c>
      <c r="Q207" s="11">
        <v>527.12</v>
      </c>
      <c r="R207" s="12">
        <v>4.7999999999999996E-3</v>
      </c>
      <c r="S207" s="12">
        <v>6.9999999999999999E-4</v>
      </c>
      <c r="T207" s="12">
        <f>Q207/'סכום נכסי הקרן'!$C$42</f>
        <v>1.4495460829626759E-4</v>
      </c>
    </row>
    <row r="208" spans="2:20">
      <c r="B208" s="10" t="s">
        <v>433</v>
      </c>
      <c r="C208" s="43">
        <v>6000202</v>
      </c>
      <c r="D208" s="10" t="s">
        <v>138</v>
      </c>
      <c r="E208" s="10"/>
      <c r="F208" s="10">
        <v>600</v>
      </c>
      <c r="G208" s="10" t="s">
        <v>356</v>
      </c>
      <c r="H208" s="10" t="s">
        <v>99</v>
      </c>
      <c r="I208" s="10" t="s">
        <v>95</v>
      </c>
      <c r="J208" s="10"/>
      <c r="K208" s="43">
        <v>4.82</v>
      </c>
      <c r="L208" s="10" t="s">
        <v>96</v>
      </c>
      <c r="M208" s="44">
        <v>4.8000000000000001E-2</v>
      </c>
      <c r="N208" s="12">
        <v>2.3400000000000001E-2</v>
      </c>
      <c r="O208" s="11">
        <v>3753900</v>
      </c>
      <c r="P208" s="11">
        <v>113.44</v>
      </c>
      <c r="Q208" s="11">
        <v>4258.42</v>
      </c>
      <c r="R208" s="12">
        <v>1.6999999999999999E-3</v>
      </c>
      <c r="S208" s="12">
        <v>5.4999999999999997E-3</v>
      </c>
      <c r="T208" s="12">
        <f>Q208/'סכום נכסי הקרן'!$C$42</f>
        <v>1.171038099599696E-3</v>
      </c>
    </row>
    <row r="209" spans="2:20">
      <c r="B209" s="10" t="s">
        <v>434</v>
      </c>
      <c r="C209" s="43">
        <v>2810299</v>
      </c>
      <c r="D209" s="10" t="s">
        <v>138</v>
      </c>
      <c r="E209" s="10"/>
      <c r="F209" s="10">
        <v>281</v>
      </c>
      <c r="G209" s="10" t="s">
        <v>273</v>
      </c>
      <c r="H209" s="10" t="s">
        <v>99</v>
      </c>
      <c r="I209" s="10" t="s">
        <v>95</v>
      </c>
      <c r="J209" s="10"/>
      <c r="K209" s="43">
        <v>5.35</v>
      </c>
      <c r="L209" s="10" t="s">
        <v>96</v>
      </c>
      <c r="M209" s="44">
        <v>2.4500000000000001E-2</v>
      </c>
      <c r="N209" s="12">
        <v>2.7E-2</v>
      </c>
      <c r="O209" s="11">
        <v>17826000</v>
      </c>
      <c r="P209" s="11">
        <v>99.4</v>
      </c>
      <c r="Q209" s="11">
        <f>17719.04-438</f>
        <v>17281.04</v>
      </c>
      <c r="R209" s="12">
        <v>1.14E-2</v>
      </c>
      <c r="S209" s="12">
        <v>2.3E-2</v>
      </c>
      <c r="T209" s="12">
        <f>Q209/'סכום נכסי הקרן'!$C$42</f>
        <v>4.752174806784284E-3</v>
      </c>
    </row>
    <row r="210" spans="2:20">
      <c r="B210" s="10" t="s">
        <v>435</v>
      </c>
      <c r="C210" s="43">
        <v>6040158</v>
      </c>
      <c r="D210" s="10" t="s">
        <v>138</v>
      </c>
      <c r="E210" s="10"/>
      <c r="F210" s="10">
        <v>604</v>
      </c>
      <c r="G210" s="10" t="s">
        <v>220</v>
      </c>
      <c r="H210" s="10" t="s">
        <v>99</v>
      </c>
      <c r="I210" s="10" t="s">
        <v>95</v>
      </c>
      <c r="J210" s="10"/>
      <c r="K210" s="43">
        <v>3.98</v>
      </c>
      <c r="L210" s="10" t="s">
        <v>96</v>
      </c>
      <c r="M210" s="44">
        <v>1.5180000000000001E-2</v>
      </c>
      <c r="N210" s="12">
        <v>1.1900000000000001E-2</v>
      </c>
      <c r="O210" s="11">
        <v>1797314</v>
      </c>
      <c r="P210" s="11">
        <v>101.55</v>
      </c>
      <c r="Q210" s="11">
        <v>1825.17</v>
      </c>
      <c r="R210" s="12">
        <v>1.9E-3</v>
      </c>
      <c r="S210" s="12">
        <v>2.3999999999999998E-3</v>
      </c>
      <c r="T210" s="12">
        <f>Q210/'סכום נכסי הקרן'!$C$42</f>
        <v>5.0191000611644161E-4</v>
      </c>
    </row>
    <row r="211" spans="2:20">
      <c r="B211" s="10" t="s">
        <v>436</v>
      </c>
      <c r="C211" s="43">
        <v>6040265</v>
      </c>
      <c r="D211" s="10" t="s">
        <v>138</v>
      </c>
      <c r="E211" s="10"/>
      <c r="F211" s="10">
        <v>604</v>
      </c>
      <c r="G211" s="10" t="s">
        <v>220</v>
      </c>
      <c r="H211" s="10" t="s">
        <v>99</v>
      </c>
      <c r="I211" s="10" t="s">
        <v>95</v>
      </c>
      <c r="J211" s="10"/>
      <c r="K211" s="43">
        <v>3.48</v>
      </c>
      <c r="L211" s="10" t="s">
        <v>96</v>
      </c>
      <c r="M211" s="44">
        <v>2.1180000000000001E-2</v>
      </c>
      <c r="N211" s="12">
        <v>1.1599999999999999E-2</v>
      </c>
      <c r="O211" s="11">
        <v>200000</v>
      </c>
      <c r="P211" s="11">
        <v>103.7</v>
      </c>
      <c r="Q211" s="11">
        <v>207.4</v>
      </c>
      <c r="R211" s="12">
        <v>2.0000000000000001E-4</v>
      </c>
      <c r="S211" s="12">
        <v>2.9999999999999997E-4</v>
      </c>
      <c r="T211" s="12">
        <f>Q211/'סכום נכסי הקרן'!$C$42</f>
        <v>5.7033665504336576E-5</v>
      </c>
    </row>
    <row r="212" spans="2:20">
      <c r="B212" s="10" t="s">
        <v>437</v>
      </c>
      <c r="C212" s="43">
        <v>1137033</v>
      </c>
      <c r="D212" s="10" t="s">
        <v>138</v>
      </c>
      <c r="E212" s="10"/>
      <c r="F212" s="10">
        <v>1597</v>
      </c>
      <c r="G212" s="10" t="s">
        <v>259</v>
      </c>
      <c r="H212" s="10" t="s">
        <v>99</v>
      </c>
      <c r="I212" s="10" t="s">
        <v>240</v>
      </c>
      <c r="J212" s="10"/>
      <c r="K212" s="43">
        <v>9.08</v>
      </c>
      <c r="L212" s="10" t="s">
        <v>96</v>
      </c>
      <c r="M212" s="44">
        <v>3.39E-2</v>
      </c>
      <c r="N212" s="12">
        <v>3.1E-2</v>
      </c>
      <c r="O212" s="11">
        <v>339900</v>
      </c>
      <c r="P212" s="11">
        <v>106.2</v>
      </c>
      <c r="Q212" s="11">
        <v>360.97</v>
      </c>
      <c r="R212" s="12">
        <v>5.0000000000000001E-4</v>
      </c>
      <c r="S212" s="12">
        <v>5.0000000000000001E-4</v>
      </c>
      <c r="T212" s="12">
        <f>Q212/'סכום נכסי הקרן'!$C$42</f>
        <v>9.9264427372711551E-5</v>
      </c>
    </row>
    <row r="213" spans="2:20">
      <c r="B213" s="10" t="s">
        <v>438</v>
      </c>
      <c r="C213" s="43">
        <v>1115997</v>
      </c>
      <c r="D213" s="10" t="s">
        <v>138</v>
      </c>
      <c r="E213" s="10"/>
      <c r="F213" s="10">
        <v>1457</v>
      </c>
      <c r="G213" s="10" t="s">
        <v>403</v>
      </c>
      <c r="H213" s="10" t="s">
        <v>99</v>
      </c>
      <c r="I213" s="10" t="s">
        <v>95</v>
      </c>
      <c r="J213" s="10"/>
      <c r="K213" s="43">
        <v>0.34</v>
      </c>
      <c r="L213" s="10" t="s">
        <v>96</v>
      </c>
      <c r="M213" s="44">
        <v>4.9500000000000002E-2</v>
      </c>
      <c r="N213" s="12">
        <v>3.0000000000000001E-3</v>
      </c>
      <c r="O213" s="11">
        <v>373518.08000000002</v>
      </c>
      <c r="P213" s="11">
        <v>102.37</v>
      </c>
      <c r="Q213" s="11">
        <f>382.37-33.5</f>
        <v>348.87</v>
      </c>
      <c r="R213" s="12">
        <v>2.5000000000000001E-3</v>
      </c>
      <c r="S213" s="12">
        <v>5.0000000000000001E-4</v>
      </c>
      <c r="T213" s="12">
        <f>Q213/'סכום נכסי הקרן'!$C$42</f>
        <v>9.593700522901591E-5</v>
      </c>
    </row>
    <row r="214" spans="2:20">
      <c r="B214" s="10" t="s">
        <v>439</v>
      </c>
      <c r="C214" s="43">
        <v>1133131</v>
      </c>
      <c r="D214" s="10" t="s">
        <v>138</v>
      </c>
      <c r="E214" s="10"/>
      <c r="F214" s="10">
        <v>1457</v>
      </c>
      <c r="G214" s="10" t="s">
        <v>184</v>
      </c>
      <c r="H214" s="10" t="s">
        <v>99</v>
      </c>
      <c r="I214" s="10" t="s">
        <v>95</v>
      </c>
      <c r="J214" s="10"/>
      <c r="K214" s="43">
        <v>5.75</v>
      </c>
      <c r="L214" s="10" t="s">
        <v>96</v>
      </c>
      <c r="M214" s="44">
        <v>1.0500000000000001E-2</v>
      </c>
      <c r="N214" s="12">
        <v>1.1599999999999999E-2</v>
      </c>
      <c r="O214" s="11">
        <v>100000</v>
      </c>
      <c r="P214" s="11">
        <v>99.5</v>
      </c>
      <c r="Q214" s="11">
        <v>99.5</v>
      </c>
      <c r="R214" s="12">
        <v>2.0000000000000001E-4</v>
      </c>
      <c r="S214" s="12">
        <v>1E-4</v>
      </c>
      <c r="T214" s="12">
        <f>Q214/'סכום נכסי הקרן'!$C$42</f>
        <v>2.7361859776670633E-5</v>
      </c>
    </row>
    <row r="215" spans="2:20">
      <c r="B215" s="10" t="s">
        <v>440</v>
      </c>
      <c r="C215" s="43">
        <v>1127547</v>
      </c>
      <c r="D215" s="10" t="s">
        <v>138</v>
      </c>
      <c r="E215" s="10"/>
      <c r="F215" s="10">
        <v>1457</v>
      </c>
      <c r="G215" s="10" t="s">
        <v>184</v>
      </c>
      <c r="H215" s="10" t="s">
        <v>99</v>
      </c>
      <c r="I215" s="10" t="s">
        <v>95</v>
      </c>
      <c r="J215" s="10"/>
      <c r="K215" s="43">
        <v>2.42</v>
      </c>
      <c r="L215" s="10" t="s">
        <v>96</v>
      </c>
      <c r="M215" s="44">
        <v>4.1000000000000002E-2</v>
      </c>
      <c r="N215" s="12">
        <v>1.1299999999999999E-2</v>
      </c>
      <c r="O215" s="11">
        <v>4102109.87</v>
      </c>
      <c r="P215" s="11">
        <v>107.29</v>
      </c>
      <c r="Q215" s="11">
        <v>4401.1499999999996</v>
      </c>
      <c r="R215" s="12">
        <v>3.3999999999999998E-3</v>
      </c>
      <c r="S215" s="12">
        <v>5.7000000000000002E-3</v>
      </c>
      <c r="T215" s="12">
        <f>Q215/'סכום נכסי הקרן'!$C$42</f>
        <v>1.2102879312170245E-3</v>
      </c>
    </row>
    <row r="216" spans="2:20">
      <c r="B216" s="10" t="s">
        <v>441</v>
      </c>
      <c r="C216" s="43">
        <v>1110931</v>
      </c>
      <c r="D216" s="10" t="s">
        <v>138</v>
      </c>
      <c r="E216" s="10"/>
      <c r="F216" s="10">
        <v>1063</v>
      </c>
      <c r="G216" s="10" t="s">
        <v>273</v>
      </c>
      <c r="H216" s="10" t="s">
        <v>98</v>
      </c>
      <c r="I216" s="10" t="s">
        <v>95</v>
      </c>
      <c r="J216" s="10"/>
      <c r="K216" s="7"/>
      <c r="L216" s="10" t="s">
        <v>96</v>
      </c>
      <c r="M216" s="44">
        <v>6.5000000000000002E-2</v>
      </c>
      <c r="N216" s="7"/>
      <c r="O216" s="11">
        <v>0.01</v>
      </c>
      <c r="P216" s="11">
        <v>103.25</v>
      </c>
      <c r="Q216" s="11">
        <v>0</v>
      </c>
      <c r="R216" s="12">
        <v>0</v>
      </c>
      <c r="S216" s="12">
        <v>0</v>
      </c>
      <c r="T216" s="12">
        <f>Q216/'סכום נכסי הקרן'!$C$42</f>
        <v>0</v>
      </c>
    </row>
    <row r="217" spans="2:20">
      <c r="B217" s="10" t="s">
        <v>442</v>
      </c>
      <c r="C217" s="43">
        <v>1133503</v>
      </c>
      <c r="D217" s="10" t="s">
        <v>138</v>
      </c>
      <c r="E217" s="10"/>
      <c r="F217" s="10">
        <v>1239</v>
      </c>
      <c r="G217" s="10" t="s">
        <v>220</v>
      </c>
      <c r="H217" s="10" t="s">
        <v>98</v>
      </c>
      <c r="I217" s="10" t="s">
        <v>240</v>
      </c>
      <c r="J217" s="10"/>
      <c r="K217" s="43">
        <v>3.36</v>
      </c>
      <c r="L217" s="10" t="s">
        <v>96</v>
      </c>
      <c r="M217" s="44">
        <v>1.04E-2</v>
      </c>
      <c r="N217" s="12">
        <v>1.12E-2</v>
      </c>
      <c r="O217" s="11">
        <v>7962000</v>
      </c>
      <c r="P217" s="11">
        <v>99.82</v>
      </c>
      <c r="Q217" s="11">
        <f>7947.67-610</f>
        <v>7337.67</v>
      </c>
      <c r="R217" s="12">
        <v>1.84E-2</v>
      </c>
      <c r="S217" s="12">
        <v>1.03E-2</v>
      </c>
      <c r="T217" s="12">
        <f>Q217/'סכום נכסי הקרן'!$C$42</f>
        <v>2.0178120364571137E-3</v>
      </c>
    </row>
    <row r="218" spans="2:20">
      <c r="B218" s="10" t="s">
        <v>443</v>
      </c>
      <c r="C218" s="43">
        <v>3900354</v>
      </c>
      <c r="D218" s="10" t="s">
        <v>138</v>
      </c>
      <c r="E218" s="10"/>
      <c r="F218" s="10">
        <v>390</v>
      </c>
      <c r="G218" s="10" t="s">
        <v>239</v>
      </c>
      <c r="H218" s="10" t="s">
        <v>98</v>
      </c>
      <c r="I218" s="10" t="s">
        <v>95</v>
      </c>
      <c r="J218" s="10"/>
      <c r="K218" s="43">
        <v>6.08</v>
      </c>
      <c r="L218" s="10" t="s">
        <v>96</v>
      </c>
      <c r="M218" s="44">
        <v>3.85E-2</v>
      </c>
      <c r="N218" s="12">
        <v>3.4799999999999998E-2</v>
      </c>
      <c r="O218" s="11">
        <v>3600811</v>
      </c>
      <c r="P218" s="11">
        <v>105.43</v>
      </c>
      <c r="Q218" s="11">
        <v>3796.34</v>
      </c>
      <c r="R218" s="12">
        <v>5.1000000000000004E-3</v>
      </c>
      <c r="S218" s="12">
        <v>4.8999999999999998E-3</v>
      </c>
      <c r="T218" s="12">
        <f>Q218/'סכום נכסי הקרן'!$C$42</f>
        <v>1.0439690728097065E-3</v>
      </c>
    </row>
    <row r="219" spans="2:20">
      <c r="B219" s="10" t="s">
        <v>444</v>
      </c>
      <c r="C219" s="43">
        <v>1139203</v>
      </c>
      <c r="D219" s="10" t="s">
        <v>138</v>
      </c>
      <c r="E219" s="10"/>
      <c r="F219" s="10">
        <v>1422</v>
      </c>
      <c r="G219" s="10" t="s">
        <v>247</v>
      </c>
      <c r="H219" s="10" t="s">
        <v>98</v>
      </c>
      <c r="I219" s="10" t="s">
        <v>95</v>
      </c>
      <c r="J219" s="10"/>
      <c r="K219" s="43">
        <v>5.31</v>
      </c>
      <c r="L219" s="10" t="s">
        <v>96</v>
      </c>
      <c r="M219" s="44">
        <v>3.5999999999999997E-2</v>
      </c>
      <c r="N219" s="12">
        <v>3.5499999999999997E-2</v>
      </c>
      <c r="O219" s="11">
        <v>610000</v>
      </c>
      <c r="P219" s="11">
        <v>101.41</v>
      </c>
      <c r="Q219" s="11">
        <v>618.6</v>
      </c>
      <c r="R219" s="12">
        <v>2.9999999999999997E-4</v>
      </c>
      <c r="S219" s="12">
        <v>8.0000000000000004E-4</v>
      </c>
      <c r="T219" s="12">
        <f>Q219/'סכום נכסי הקרן'!$C$42</f>
        <v>1.7011101967686888E-4</v>
      </c>
    </row>
    <row r="220" spans="2:20">
      <c r="B220" s="10" t="s">
        <v>445</v>
      </c>
      <c r="C220" s="43">
        <v>1120872</v>
      </c>
      <c r="D220" s="10" t="s">
        <v>138</v>
      </c>
      <c r="E220" s="10"/>
      <c r="F220" s="10">
        <v>1422</v>
      </c>
      <c r="G220" s="10" t="s">
        <v>247</v>
      </c>
      <c r="H220" s="10" t="s">
        <v>98</v>
      </c>
      <c r="I220" s="10" t="s">
        <v>240</v>
      </c>
      <c r="J220" s="10"/>
      <c r="K220" s="43">
        <v>1.22</v>
      </c>
      <c r="L220" s="10" t="s">
        <v>96</v>
      </c>
      <c r="M220" s="44">
        <v>6.5000000000000002E-2</v>
      </c>
      <c r="N220" s="12">
        <v>9.1000000000000004E-3</v>
      </c>
      <c r="O220" s="11">
        <v>340000.25</v>
      </c>
      <c r="P220" s="11">
        <v>108.54</v>
      </c>
      <c r="Q220" s="11">
        <v>369.04</v>
      </c>
      <c r="R220" s="12">
        <v>5.0000000000000001E-4</v>
      </c>
      <c r="S220" s="12">
        <v>5.0000000000000001E-4</v>
      </c>
      <c r="T220" s="12">
        <f>Q220/'סכום נכסי הקרן'!$C$42</f>
        <v>1.014836254470606E-4</v>
      </c>
    </row>
    <row r="221" spans="2:20">
      <c r="B221" s="10" t="s">
        <v>446</v>
      </c>
      <c r="C221" s="43">
        <v>7590144</v>
      </c>
      <c r="D221" s="10" t="s">
        <v>138</v>
      </c>
      <c r="E221" s="10"/>
      <c r="F221" s="10">
        <v>759</v>
      </c>
      <c r="G221" s="10" t="s">
        <v>239</v>
      </c>
      <c r="H221" s="10" t="s">
        <v>98</v>
      </c>
      <c r="I221" s="10" t="s">
        <v>95</v>
      </c>
      <c r="J221" s="10"/>
      <c r="K221" s="43">
        <v>0.82</v>
      </c>
      <c r="L221" s="10" t="s">
        <v>96</v>
      </c>
      <c r="M221" s="44">
        <v>6.4100000000000004E-2</v>
      </c>
      <c r="N221" s="12">
        <v>8.6999999999999994E-3</v>
      </c>
      <c r="O221" s="11">
        <v>394417.83</v>
      </c>
      <c r="P221" s="11">
        <v>105.66</v>
      </c>
      <c r="Q221" s="11">
        <v>416.74</v>
      </c>
      <c r="R221" s="12">
        <v>3.7000000000000002E-3</v>
      </c>
      <c r="S221" s="12">
        <v>5.0000000000000001E-4</v>
      </c>
      <c r="T221" s="12">
        <f>Q221/'סכום נכסי הקרן'!$C$42</f>
        <v>1.1460081852592683E-4</v>
      </c>
    </row>
    <row r="222" spans="2:20">
      <c r="B222" s="10" t="s">
        <v>447</v>
      </c>
      <c r="C222" s="43">
        <v>1260421</v>
      </c>
      <c r="D222" s="10" t="s">
        <v>138</v>
      </c>
      <c r="E222" s="10"/>
      <c r="F222" s="10">
        <v>126</v>
      </c>
      <c r="G222" s="10" t="s">
        <v>239</v>
      </c>
      <c r="H222" s="10" t="s">
        <v>98</v>
      </c>
      <c r="I222" s="10" t="s">
        <v>95</v>
      </c>
      <c r="J222" s="10"/>
      <c r="K222" s="43">
        <v>0.75</v>
      </c>
      <c r="L222" s="10" t="s">
        <v>96</v>
      </c>
      <c r="M222" s="44">
        <v>8.0000000000000002E-3</v>
      </c>
      <c r="N222" s="12">
        <v>0.01</v>
      </c>
      <c r="O222" s="11">
        <v>150605.85</v>
      </c>
      <c r="P222" s="11">
        <v>99.85</v>
      </c>
      <c r="Q222" s="11">
        <v>150.38</v>
      </c>
      <c r="R222" s="12">
        <v>2.9999999999999997E-4</v>
      </c>
      <c r="S222" s="12">
        <v>2.0000000000000001E-4</v>
      </c>
      <c r="T222" s="12">
        <f>Q222/'סכום נכסי הקרן'!$C$42</f>
        <v>4.1353532394127938E-5</v>
      </c>
    </row>
    <row r="223" spans="2:20">
      <c r="B223" s="10" t="s">
        <v>448</v>
      </c>
      <c r="C223" s="43">
        <v>1260405</v>
      </c>
      <c r="D223" s="10" t="s">
        <v>138</v>
      </c>
      <c r="E223" s="10"/>
      <c r="F223" s="10">
        <v>126</v>
      </c>
      <c r="G223" s="10" t="s">
        <v>239</v>
      </c>
      <c r="H223" s="10" t="s">
        <v>98</v>
      </c>
      <c r="I223" s="10" t="s">
        <v>95</v>
      </c>
      <c r="J223" s="10"/>
      <c r="K223" s="7"/>
      <c r="L223" s="10" t="s">
        <v>96</v>
      </c>
      <c r="M223" s="44">
        <v>6.4000000000000001E-2</v>
      </c>
      <c r="N223" s="12">
        <v>-0.48599999999999999</v>
      </c>
      <c r="O223" s="11">
        <v>529013.65</v>
      </c>
      <c r="P223" s="11">
        <v>106.38</v>
      </c>
      <c r="Q223" s="11">
        <v>562.76</v>
      </c>
      <c r="R223" s="12">
        <v>1.9E-3</v>
      </c>
      <c r="S223" s="12">
        <v>6.9999999999999999E-4</v>
      </c>
      <c r="T223" s="12">
        <f>Q223/'סכום נכסי הקרן'!$C$42</f>
        <v>1.5475537897406195E-4</v>
      </c>
    </row>
    <row r="224" spans="2:20">
      <c r="B224" s="10" t="s">
        <v>449</v>
      </c>
      <c r="C224" s="43">
        <v>1134154</v>
      </c>
      <c r="D224" s="10" t="s">
        <v>138</v>
      </c>
      <c r="E224" s="10"/>
      <c r="F224" s="10">
        <v>1291</v>
      </c>
      <c r="G224" s="10" t="s">
        <v>220</v>
      </c>
      <c r="H224" s="10" t="s">
        <v>98</v>
      </c>
      <c r="I224" s="10" t="s">
        <v>95</v>
      </c>
      <c r="J224" s="10"/>
      <c r="K224" s="43">
        <v>3.21</v>
      </c>
      <c r="L224" s="10" t="s">
        <v>96</v>
      </c>
      <c r="M224" s="44">
        <v>1.0500000000000001E-2</v>
      </c>
      <c r="N224" s="12">
        <v>9.4999999999999998E-3</v>
      </c>
      <c r="O224" s="11">
        <v>200527.68</v>
      </c>
      <c r="P224" s="11">
        <v>100.31</v>
      </c>
      <c r="Q224" s="11">
        <v>201.15</v>
      </c>
      <c r="R224" s="12">
        <v>6.9999999999999999E-4</v>
      </c>
      <c r="S224" s="12">
        <v>2.9999999999999997E-4</v>
      </c>
      <c r="T224" s="12">
        <f>Q224/'סכום נכסי הקרן'!$C$42</f>
        <v>5.5314955719369827E-5</v>
      </c>
    </row>
    <row r="225" spans="2:20">
      <c r="B225" s="10" t="s">
        <v>450</v>
      </c>
      <c r="C225" s="43">
        <v>1126051</v>
      </c>
      <c r="D225" s="10" t="s">
        <v>138</v>
      </c>
      <c r="E225" s="10"/>
      <c r="F225" s="10">
        <v>1291</v>
      </c>
      <c r="G225" s="10" t="s">
        <v>220</v>
      </c>
      <c r="H225" s="10" t="s">
        <v>98</v>
      </c>
      <c r="I225" s="10" t="s">
        <v>95</v>
      </c>
      <c r="J225" s="10"/>
      <c r="K225" s="43">
        <v>0.26</v>
      </c>
      <c r="L225" s="10" t="s">
        <v>96</v>
      </c>
      <c r="M225" s="44">
        <v>1.3100000000000001E-2</v>
      </c>
      <c r="N225" s="12">
        <v>6.4999999999999997E-3</v>
      </c>
      <c r="O225" s="11">
        <v>37117.360000000001</v>
      </c>
      <c r="P225" s="11">
        <v>100.16</v>
      </c>
      <c r="Q225" s="11">
        <v>37.18</v>
      </c>
      <c r="R225" s="12">
        <v>5.0000000000000001E-4</v>
      </c>
      <c r="S225" s="12">
        <v>0</v>
      </c>
      <c r="T225" s="12">
        <f>Q225/'סכום נכסי הקרן'!$C$42</f>
        <v>1.0224260768810192E-5</v>
      </c>
    </row>
    <row r="226" spans="2:20">
      <c r="B226" s="10" t="s">
        <v>451</v>
      </c>
      <c r="C226" s="43">
        <v>1132968</v>
      </c>
      <c r="D226" s="10" t="s">
        <v>138</v>
      </c>
      <c r="E226" s="10"/>
      <c r="F226" s="10">
        <v>1324</v>
      </c>
      <c r="G226" s="10" t="s">
        <v>259</v>
      </c>
      <c r="H226" s="10" t="s">
        <v>98</v>
      </c>
      <c r="I226" s="10" t="s">
        <v>95</v>
      </c>
      <c r="J226" s="10"/>
      <c r="K226" s="43">
        <v>7.5</v>
      </c>
      <c r="L226" s="10" t="s">
        <v>96</v>
      </c>
      <c r="M226" s="44">
        <v>4.1399999999999999E-2</v>
      </c>
      <c r="N226" s="12">
        <v>3.5999999999999997E-2</v>
      </c>
      <c r="O226" s="11">
        <v>101944.57</v>
      </c>
      <c r="P226" s="11">
        <v>106.45</v>
      </c>
      <c r="Q226" s="11">
        <v>108.52</v>
      </c>
      <c r="R226" s="12">
        <v>2.9999999999999997E-4</v>
      </c>
      <c r="S226" s="12">
        <v>1E-4</v>
      </c>
      <c r="T226" s="12">
        <f>Q226/'סכום נכסי הקרן'!$C$42</f>
        <v>2.9842301738334642E-5</v>
      </c>
    </row>
    <row r="227" spans="2:20">
      <c r="B227" s="10" t="s">
        <v>452</v>
      </c>
      <c r="C227" s="43">
        <v>3230240</v>
      </c>
      <c r="D227" s="10" t="s">
        <v>138</v>
      </c>
      <c r="E227" s="10"/>
      <c r="F227" s="10">
        <v>323</v>
      </c>
      <c r="G227" s="10" t="s">
        <v>239</v>
      </c>
      <c r="H227" s="10" t="s">
        <v>98</v>
      </c>
      <c r="I227" s="10" t="s">
        <v>95</v>
      </c>
      <c r="J227" s="10"/>
      <c r="K227" s="43">
        <v>6.38</v>
      </c>
      <c r="L227" s="10" t="s">
        <v>96</v>
      </c>
      <c r="M227" s="44">
        <v>3.5000000000000003E-2</v>
      </c>
      <c r="N227" s="12">
        <v>3.5900000000000001E-2</v>
      </c>
      <c r="O227" s="11">
        <v>1239666.8700000001</v>
      </c>
      <c r="P227" s="11">
        <v>99.6</v>
      </c>
      <c r="Q227" s="11">
        <v>1234.71</v>
      </c>
      <c r="R227" s="12">
        <v>3.3E-3</v>
      </c>
      <c r="S227" s="12">
        <v>1.6000000000000001E-3</v>
      </c>
      <c r="T227" s="12">
        <f>Q227/'סכום נכסי הקרן'!$C$42</f>
        <v>3.3953730537540698E-4</v>
      </c>
    </row>
    <row r="228" spans="2:20">
      <c r="B228" s="10" t="s">
        <v>453</v>
      </c>
      <c r="C228" s="43">
        <v>1114073</v>
      </c>
      <c r="D228" s="10" t="s">
        <v>138</v>
      </c>
      <c r="E228" s="10"/>
      <c r="F228" s="10">
        <v>1363</v>
      </c>
      <c r="G228" s="10" t="s">
        <v>307</v>
      </c>
      <c r="H228" s="10" t="s">
        <v>98</v>
      </c>
      <c r="I228" s="10" t="s">
        <v>95</v>
      </c>
      <c r="J228" s="10"/>
      <c r="K228" s="43">
        <v>2.35</v>
      </c>
      <c r="L228" s="10" t="s">
        <v>96</v>
      </c>
      <c r="M228" s="44">
        <v>2.3066E-2</v>
      </c>
      <c r="N228" s="12">
        <v>1.37E-2</v>
      </c>
      <c r="O228" s="11">
        <v>4033857.44</v>
      </c>
      <c r="P228" s="11">
        <v>102.45</v>
      </c>
      <c r="Q228" s="11">
        <f>4132.69-200</f>
        <v>3932.6899999999996</v>
      </c>
      <c r="R228" s="12">
        <v>1.4E-3</v>
      </c>
      <c r="S228" s="12">
        <v>5.4000000000000003E-3</v>
      </c>
      <c r="T228" s="12">
        <f>Q228/'סכום נכסי הקרן'!$C$42</f>
        <v>1.0814644454785409E-3</v>
      </c>
    </row>
    <row r="229" spans="2:20">
      <c r="B229" s="10" t="s">
        <v>454</v>
      </c>
      <c r="C229" s="43">
        <v>1120807</v>
      </c>
      <c r="D229" s="10" t="s">
        <v>138</v>
      </c>
      <c r="E229" s="10"/>
      <c r="F229" s="10">
        <v>1527</v>
      </c>
      <c r="G229" s="10" t="s">
        <v>259</v>
      </c>
      <c r="H229" s="10" t="s">
        <v>98</v>
      </c>
      <c r="I229" s="10" t="s">
        <v>95</v>
      </c>
      <c r="J229" s="10"/>
      <c r="K229" s="43">
        <v>3.38</v>
      </c>
      <c r="L229" s="10" t="s">
        <v>96</v>
      </c>
      <c r="M229" s="44">
        <v>0.06</v>
      </c>
      <c r="N229" s="12">
        <v>4.8899999999999999E-2</v>
      </c>
      <c r="O229" s="11">
        <v>400000</v>
      </c>
      <c r="P229" s="11">
        <v>105.42</v>
      </c>
      <c r="Q229" s="11">
        <v>421.68</v>
      </c>
      <c r="R229" s="12">
        <v>2.5999999999999999E-3</v>
      </c>
      <c r="S229" s="12">
        <v>5.0000000000000001E-4</v>
      </c>
      <c r="T229" s="12">
        <f>Q229/'סכום נכסי הקרן'!$C$42</f>
        <v>1.1595928673996454E-4</v>
      </c>
    </row>
    <row r="230" spans="2:20">
      <c r="B230" s="10" t="s">
        <v>455</v>
      </c>
      <c r="C230" s="43">
        <v>1136464</v>
      </c>
      <c r="D230" s="10" t="s">
        <v>138</v>
      </c>
      <c r="E230" s="10"/>
      <c r="F230" s="10">
        <v>1585</v>
      </c>
      <c r="G230" s="10" t="s">
        <v>330</v>
      </c>
      <c r="H230" s="10" t="s">
        <v>98</v>
      </c>
      <c r="I230" s="10" t="s">
        <v>240</v>
      </c>
      <c r="J230" s="10"/>
      <c r="K230" s="43">
        <v>4.53</v>
      </c>
      <c r="L230" s="10" t="s">
        <v>96</v>
      </c>
      <c r="M230" s="44">
        <v>2.75E-2</v>
      </c>
      <c r="N230" s="12">
        <v>2.46E-2</v>
      </c>
      <c r="O230" s="11">
        <v>710520.91</v>
      </c>
      <c r="P230" s="11">
        <v>102.29</v>
      </c>
      <c r="Q230" s="11">
        <v>726.79</v>
      </c>
      <c r="R230" s="12">
        <v>1.1999999999999999E-3</v>
      </c>
      <c r="S230" s="12">
        <v>8.9999999999999998E-4</v>
      </c>
      <c r="T230" s="12">
        <f>Q230/'סכום נכסי הקרן'!$C$42</f>
        <v>1.9986257353855726E-4</v>
      </c>
    </row>
    <row r="231" spans="2:20">
      <c r="B231" s="10" t="s">
        <v>456</v>
      </c>
      <c r="C231" s="43">
        <v>1121854</v>
      </c>
      <c r="D231" s="10" t="s">
        <v>138</v>
      </c>
      <c r="E231" s="10"/>
      <c r="F231" s="10">
        <v>1239</v>
      </c>
      <c r="G231" s="10" t="s">
        <v>220</v>
      </c>
      <c r="H231" s="10" t="s">
        <v>181</v>
      </c>
      <c r="I231" s="10" t="s">
        <v>240</v>
      </c>
      <c r="J231" s="10"/>
      <c r="K231" s="43">
        <v>2.86</v>
      </c>
      <c r="L231" s="10" t="s">
        <v>96</v>
      </c>
      <c r="M231" s="44">
        <v>1.5800000000000002E-2</v>
      </c>
      <c r="N231" s="12">
        <v>1.0200000000000001E-2</v>
      </c>
      <c r="O231" s="11">
        <v>817435</v>
      </c>
      <c r="P231" s="11">
        <v>101.73</v>
      </c>
      <c r="Q231" s="11">
        <v>831.58</v>
      </c>
      <c r="R231" s="12">
        <v>1.6000000000000001E-3</v>
      </c>
      <c r="S231" s="12">
        <v>1.1000000000000001E-3</v>
      </c>
      <c r="T231" s="12">
        <f>Q231/'סכום נכסי הקרן'!$C$42</f>
        <v>2.2867914927722377E-4</v>
      </c>
    </row>
    <row r="232" spans="2:20">
      <c r="B232" s="10" t="s">
        <v>457</v>
      </c>
      <c r="C232" s="43">
        <v>7390149</v>
      </c>
      <c r="D232" s="10" t="s">
        <v>138</v>
      </c>
      <c r="E232" s="10"/>
      <c r="F232" s="10">
        <v>739</v>
      </c>
      <c r="G232" s="10" t="s">
        <v>307</v>
      </c>
      <c r="H232" s="10" t="s">
        <v>181</v>
      </c>
      <c r="I232" s="10" t="s">
        <v>240</v>
      </c>
      <c r="J232" s="10"/>
      <c r="K232" s="43">
        <v>4.58</v>
      </c>
      <c r="L232" s="10" t="s">
        <v>96</v>
      </c>
      <c r="M232" s="44">
        <v>3.7499999999999999E-2</v>
      </c>
      <c r="N232" s="12">
        <v>2.4799999999999999E-2</v>
      </c>
      <c r="O232" s="11">
        <v>2249901.33</v>
      </c>
      <c r="P232" s="11">
        <v>105.9</v>
      </c>
      <c r="Q232" s="11">
        <f>2382.6-19.325</f>
        <v>2363.2750000000001</v>
      </c>
      <c r="R232" s="12">
        <v>4.1000000000000003E-3</v>
      </c>
      <c r="S232" s="12">
        <v>3.0999999999999999E-3</v>
      </c>
      <c r="T232" s="12">
        <f>Q232/'סכום נכסי הקרן'!$C$42</f>
        <v>6.4988541873076675E-4</v>
      </c>
    </row>
    <row r="233" spans="2:20">
      <c r="B233" s="10" t="s">
        <v>458</v>
      </c>
      <c r="C233" s="43">
        <v>1132521</v>
      </c>
      <c r="D233" s="10" t="s">
        <v>138</v>
      </c>
      <c r="E233" s="10"/>
      <c r="F233" s="10">
        <v>1327</v>
      </c>
      <c r="G233" s="10" t="s">
        <v>239</v>
      </c>
      <c r="H233" s="10" t="s">
        <v>181</v>
      </c>
      <c r="I233" s="10" t="s">
        <v>240</v>
      </c>
      <c r="J233" s="10"/>
      <c r="K233" s="43">
        <v>4.91</v>
      </c>
      <c r="L233" s="10" t="s">
        <v>96</v>
      </c>
      <c r="M233" s="44">
        <v>3.5000000000000003E-2</v>
      </c>
      <c r="N233" s="12">
        <v>2.4799999999999999E-2</v>
      </c>
      <c r="O233" s="11">
        <v>4822126.74</v>
      </c>
      <c r="P233" s="11">
        <v>105.07</v>
      </c>
      <c r="Q233" s="11">
        <f>5066.61-500</f>
        <v>4566.6099999999997</v>
      </c>
      <c r="R233" s="12">
        <v>4.7699999999999999E-2</v>
      </c>
      <c r="S233" s="12">
        <v>6.6E-3</v>
      </c>
      <c r="T233" s="12">
        <f>Q233/'סכום נכסי הקרן'!$C$42</f>
        <v>1.2557883665803202E-3</v>
      </c>
    </row>
    <row r="234" spans="2:20">
      <c r="B234" s="10" t="s">
        <v>459</v>
      </c>
      <c r="C234" s="43">
        <v>1123264</v>
      </c>
      <c r="D234" s="10" t="s">
        <v>138</v>
      </c>
      <c r="E234" s="10"/>
      <c r="F234" s="10">
        <v>510</v>
      </c>
      <c r="G234" s="10" t="s">
        <v>247</v>
      </c>
      <c r="H234" s="10" t="s">
        <v>181</v>
      </c>
      <c r="I234" s="10" t="s">
        <v>240</v>
      </c>
      <c r="J234" s="10"/>
      <c r="K234" s="43">
        <v>1.48</v>
      </c>
      <c r="L234" s="10" t="s">
        <v>96</v>
      </c>
      <c r="M234" s="44">
        <v>6.9000000000000006E-2</v>
      </c>
      <c r="N234" s="12">
        <v>1.5100000000000001E-2</v>
      </c>
      <c r="O234" s="11">
        <v>1706388.71</v>
      </c>
      <c r="P234" s="11">
        <v>109.95</v>
      </c>
      <c r="Q234" s="11">
        <f>1876.17-100</f>
        <v>1776.17</v>
      </c>
      <c r="R234" s="12">
        <v>4.0000000000000001E-3</v>
      </c>
      <c r="S234" s="12">
        <v>2.3999999999999998E-3</v>
      </c>
      <c r="T234" s="12">
        <f>Q234/'סכום נכסי הקרן'!$C$42</f>
        <v>4.884353214023023E-4</v>
      </c>
    </row>
    <row r="235" spans="2:20">
      <c r="B235" s="10" t="s">
        <v>460</v>
      </c>
      <c r="C235" s="43">
        <v>1118306</v>
      </c>
      <c r="D235" s="10" t="s">
        <v>138</v>
      </c>
      <c r="E235" s="10"/>
      <c r="F235" s="10">
        <v>1535</v>
      </c>
      <c r="G235" s="10" t="s">
        <v>269</v>
      </c>
      <c r="H235" s="10" t="s">
        <v>181</v>
      </c>
      <c r="I235" s="10" t="s">
        <v>240</v>
      </c>
      <c r="J235" s="10"/>
      <c r="K235" s="43">
        <v>1.6</v>
      </c>
      <c r="L235" s="10" t="s">
        <v>96</v>
      </c>
      <c r="M235" s="44">
        <v>5.5500000000000001E-2</v>
      </c>
      <c r="N235" s="12">
        <v>1.5800000000000002E-2</v>
      </c>
      <c r="O235" s="11">
        <v>10064.290000000001</v>
      </c>
      <c r="P235" s="11">
        <v>108.33</v>
      </c>
      <c r="Q235" s="11">
        <v>10.9</v>
      </c>
      <c r="R235" s="12">
        <v>2.0000000000000001E-4</v>
      </c>
      <c r="S235" s="12">
        <v>0</v>
      </c>
      <c r="T235" s="12">
        <f>Q235/'סכום נכסי הקרן'!$C$42</f>
        <v>2.9974298649820091E-6</v>
      </c>
    </row>
    <row r="236" spans="2:20">
      <c r="B236" s="10" t="s">
        <v>461</v>
      </c>
      <c r="C236" s="43">
        <v>1121201</v>
      </c>
      <c r="D236" s="10" t="s">
        <v>138</v>
      </c>
      <c r="E236" s="10"/>
      <c r="F236" s="10">
        <v>1248</v>
      </c>
      <c r="G236" s="10" t="s">
        <v>220</v>
      </c>
      <c r="H236" s="10" t="s">
        <v>181</v>
      </c>
      <c r="I236" s="10" t="s">
        <v>95</v>
      </c>
      <c r="J236" s="10"/>
      <c r="K236" s="43">
        <v>1.65</v>
      </c>
      <c r="L236" s="10" t="s">
        <v>96</v>
      </c>
      <c r="M236" s="44">
        <v>1.38E-2</v>
      </c>
      <c r="N236" s="12">
        <v>8.8999999999999999E-3</v>
      </c>
      <c r="O236" s="11">
        <v>-0.45</v>
      </c>
      <c r="P236" s="11">
        <v>100.93</v>
      </c>
      <c r="Q236" s="11">
        <v>0</v>
      </c>
      <c r="R236" s="12">
        <v>0</v>
      </c>
      <c r="S236" s="12">
        <v>0</v>
      </c>
      <c r="T236" s="12">
        <f>Q236/'סכום נכסי הקרן'!$C$42</f>
        <v>0</v>
      </c>
    </row>
    <row r="237" spans="2:20">
      <c r="B237" s="10" t="s">
        <v>462</v>
      </c>
      <c r="C237" s="43">
        <v>6130199</v>
      </c>
      <c r="D237" s="10" t="s">
        <v>138</v>
      </c>
      <c r="E237" s="10"/>
      <c r="F237" s="10">
        <v>613</v>
      </c>
      <c r="G237" s="10" t="s">
        <v>239</v>
      </c>
      <c r="H237" s="10" t="s">
        <v>181</v>
      </c>
      <c r="I237" s="10" t="s">
        <v>240</v>
      </c>
      <c r="J237" s="10"/>
      <c r="K237" s="43">
        <v>5.42</v>
      </c>
      <c r="L237" s="10" t="s">
        <v>96</v>
      </c>
      <c r="M237" s="44">
        <v>5.0500000000000003E-2</v>
      </c>
      <c r="N237" s="12">
        <v>3.4200000000000001E-2</v>
      </c>
      <c r="O237" s="11">
        <v>588000</v>
      </c>
      <c r="P237" s="11">
        <v>110.89</v>
      </c>
      <c r="Q237" s="11">
        <v>652.03</v>
      </c>
      <c r="R237" s="12">
        <v>1.9E-3</v>
      </c>
      <c r="S237" s="12">
        <v>8.0000000000000004E-4</v>
      </c>
      <c r="T237" s="12">
        <f>Q237/'סכום נכסי הקרן'!$C$42</f>
        <v>1.7930405457469901E-4</v>
      </c>
    </row>
    <row r="238" spans="2:20">
      <c r="B238" s="10" t="s">
        <v>463</v>
      </c>
      <c r="C238" s="43">
        <v>7230295</v>
      </c>
      <c r="D238" s="10" t="s">
        <v>138</v>
      </c>
      <c r="E238" s="10"/>
      <c r="F238" s="10">
        <v>723</v>
      </c>
      <c r="G238" s="10" t="s">
        <v>239</v>
      </c>
      <c r="H238" s="10" t="s">
        <v>181</v>
      </c>
      <c r="I238" s="10" t="s">
        <v>95</v>
      </c>
      <c r="J238" s="10"/>
      <c r="K238" s="43">
        <v>1.58</v>
      </c>
      <c r="L238" s="10" t="s">
        <v>96</v>
      </c>
      <c r="M238" s="44">
        <v>8.5000000000000006E-3</v>
      </c>
      <c r="N238" s="12">
        <v>0.02</v>
      </c>
      <c r="O238" s="11">
        <v>100436.26</v>
      </c>
      <c r="P238" s="11">
        <v>98.22</v>
      </c>
      <c r="Q238" s="11">
        <v>98.65</v>
      </c>
      <c r="R238" s="12">
        <v>2.9999999999999997E-4</v>
      </c>
      <c r="S238" s="12">
        <v>1E-4</v>
      </c>
      <c r="T238" s="12">
        <f>Q238/'סכום נכסי הקרן'!$C$42</f>
        <v>2.7128115245915155E-5</v>
      </c>
    </row>
    <row r="239" spans="2:20">
      <c r="B239" s="10" t="s">
        <v>464</v>
      </c>
      <c r="C239" s="43">
        <v>6990196</v>
      </c>
      <c r="D239" s="10" t="s">
        <v>138</v>
      </c>
      <c r="E239" s="10"/>
      <c r="F239" s="10">
        <v>699</v>
      </c>
      <c r="G239" s="10" t="s">
        <v>239</v>
      </c>
      <c r="H239" s="10" t="s">
        <v>181</v>
      </c>
      <c r="I239" s="10" t="s">
        <v>240</v>
      </c>
      <c r="J239" s="10"/>
      <c r="K239" s="43">
        <v>4.4000000000000004</v>
      </c>
      <c r="L239" s="10" t="s">
        <v>96</v>
      </c>
      <c r="M239" s="44">
        <v>7.0499999999999993E-2</v>
      </c>
      <c r="N239" s="12">
        <v>2.9499999999999998E-2</v>
      </c>
      <c r="O239" s="11">
        <v>1116245.6399999999</v>
      </c>
      <c r="P239" s="11">
        <v>118.7</v>
      </c>
      <c r="Q239" s="11">
        <v>1324.98</v>
      </c>
      <c r="R239" s="12">
        <v>1.9E-3</v>
      </c>
      <c r="S239" s="12">
        <v>1.6999999999999999E-3</v>
      </c>
      <c r="T239" s="12">
        <f>Q239/'סכום נכסי הקרן'!$C$42</f>
        <v>3.6436097454163873E-4</v>
      </c>
    </row>
    <row r="240" spans="2:20">
      <c r="B240" s="10" t="s">
        <v>465</v>
      </c>
      <c r="C240" s="43">
        <v>6990212</v>
      </c>
      <c r="D240" s="10" t="s">
        <v>138</v>
      </c>
      <c r="E240" s="10"/>
      <c r="F240" s="10">
        <v>699</v>
      </c>
      <c r="G240" s="10" t="s">
        <v>239</v>
      </c>
      <c r="H240" s="10" t="s">
        <v>181</v>
      </c>
      <c r="I240" s="10" t="s">
        <v>240</v>
      </c>
      <c r="J240" s="10"/>
      <c r="K240" s="43">
        <v>6.29</v>
      </c>
      <c r="L240" s="10" t="s">
        <v>96</v>
      </c>
      <c r="M240" s="44">
        <v>3.95E-2</v>
      </c>
      <c r="N240" s="12">
        <v>4.1300000000000003E-2</v>
      </c>
      <c r="O240" s="11">
        <v>2420770.9700000002</v>
      </c>
      <c r="P240" s="11">
        <v>99.15</v>
      </c>
      <c r="Q240" s="11">
        <v>2400.19</v>
      </c>
      <c r="R240" s="12">
        <v>4.7999999999999996E-3</v>
      </c>
      <c r="S240" s="12">
        <v>3.0999999999999999E-3</v>
      </c>
      <c r="T240" s="12">
        <f>Q240/'סכום נכסי הקרן'!$C$42</f>
        <v>6.6003680620469428E-4</v>
      </c>
    </row>
    <row r="241" spans="2:20">
      <c r="B241" s="10" t="s">
        <v>466</v>
      </c>
      <c r="C241" s="43">
        <v>1126002</v>
      </c>
      <c r="D241" s="10" t="s">
        <v>138</v>
      </c>
      <c r="E241" s="10"/>
      <c r="F241" s="10">
        <v>2066</v>
      </c>
      <c r="G241" s="10" t="s">
        <v>247</v>
      </c>
      <c r="H241" s="10" t="s">
        <v>181</v>
      </c>
      <c r="I241" s="10" t="s">
        <v>95</v>
      </c>
      <c r="J241" s="10"/>
      <c r="K241" s="43">
        <v>1.59</v>
      </c>
      <c r="L241" s="10" t="s">
        <v>96</v>
      </c>
      <c r="M241" s="44">
        <v>6.9900000000000004E-2</v>
      </c>
      <c r="N241" s="12">
        <v>1.9E-2</v>
      </c>
      <c r="O241" s="11">
        <v>27481.23</v>
      </c>
      <c r="P241" s="11">
        <v>108.07</v>
      </c>
      <c r="Q241" s="11">
        <v>29.7</v>
      </c>
      <c r="R241" s="12">
        <v>1E-4</v>
      </c>
      <c r="S241" s="12">
        <v>0</v>
      </c>
      <c r="T241" s="12">
        <f>Q241/'סכום נכסי הקרן'!$C$42</f>
        <v>8.1673088981619879E-6</v>
      </c>
    </row>
    <row r="242" spans="2:20">
      <c r="B242" s="10" t="s">
        <v>467</v>
      </c>
      <c r="C242" s="43">
        <v>1132836</v>
      </c>
      <c r="D242" s="10" t="s">
        <v>138</v>
      </c>
      <c r="E242" s="10"/>
      <c r="F242" s="10">
        <v>2066</v>
      </c>
      <c r="G242" s="10" t="s">
        <v>247</v>
      </c>
      <c r="H242" s="10" t="s">
        <v>181</v>
      </c>
      <c r="I242" s="10" t="s">
        <v>95</v>
      </c>
      <c r="J242" s="10"/>
      <c r="K242" s="43">
        <v>4.8099999999999996</v>
      </c>
      <c r="L242" s="10" t="s">
        <v>96</v>
      </c>
      <c r="M242" s="44">
        <v>4.1399999999999999E-2</v>
      </c>
      <c r="N242" s="12">
        <v>2.86E-2</v>
      </c>
      <c r="O242" s="11">
        <v>254870.59</v>
      </c>
      <c r="P242" s="11">
        <v>106.25</v>
      </c>
      <c r="Q242" s="11">
        <v>270.8</v>
      </c>
      <c r="R242" s="12">
        <v>2.9999999999999997E-4</v>
      </c>
      <c r="S242" s="12">
        <v>4.0000000000000002E-4</v>
      </c>
      <c r="T242" s="12">
        <f>Q242/'סכום נכסי הקרן'!$C$42</f>
        <v>7.4468257563039275E-5</v>
      </c>
    </row>
    <row r="243" spans="2:20">
      <c r="B243" s="10" t="s">
        <v>468</v>
      </c>
      <c r="C243" s="43">
        <v>1113661</v>
      </c>
      <c r="D243" s="10" t="s">
        <v>138</v>
      </c>
      <c r="E243" s="10"/>
      <c r="F243" s="10">
        <v>2066</v>
      </c>
      <c r="G243" s="10" t="s">
        <v>247</v>
      </c>
      <c r="H243" s="10" t="s">
        <v>181</v>
      </c>
      <c r="I243" s="10" t="s">
        <v>95</v>
      </c>
      <c r="J243" s="10"/>
      <c r="K243" s="7"/>
      <c r="L243" s="10" t="s">
        <v>96</v>
      </c>
      <c r="M243" s="44">
        <v>6.25E-2</v>
      </c>
      <c r="N243" s="12">
        <v>-0.48599999999999999</v>
      </c>
      <c r="O243" s="11">
        <v>20000.04</v>
      </c>
      <c r="P243" s="11">
        <v>106.21</v>
      </c>
      <c r="Q243" s="11">
        <v>21.24</v>
      </c>
      <c r="R243" s="12">
        <v>1E-4</v>
      </c>
      <c r="S243" s="12">
        <v>0</v>
      </c>
      <c r="T243" s="12">
        <f>Q243/'סכום נכסי הקרן'!$C$42</f>
        <v>5.840863333230997E-6</v>
      </c>
    </row>
    <row r="244" spans="2:20">
      <c r="B244" s="10" t="s">
        <v>469</v>
      </c>
      <c r="C244" s="43">
        <v>2560142</v>
      </c>
      <c r="D244" s="10" t="s">
        <v>138</v>
      </c>
      <c r="E244" s="10"/>
      <c r="F244" s="10">
        <v>256</v>
      </c>
      <c r="G244" s="10" t="s">
        <v>470</v>
      </c>
      <c r="H244" s="10" t="s">
        <v>181</v>
      </c>
      <c r="I244" s="10" t="s">
        <v>95</v>
      </c>
      <c r="J244" s="10"/>
      <c r="K244" s="43">
        <v>3.77</v>
      </c>
      <c r="L244" s="10" t="s">
        <v>96</v>
      </c>
      <c r="M244" s="44">
        <v>2.8000000000000001E-2</v>
      </c>
      <c r="N244" s="12">
        <v>2.41E-2</v>
      </c>
      <c r="O244" s="11">
        <v>4375232.76</v>
      </c>
      <c r="P244" s="11">
        <v>101.49</v>
      </c>
      <c r="Q244" s="11">
        <f>4440.42-300</f>
        <v>4140.42</v>
      </c>
      <c r="R244" s="12">
        <v>4.2799999999999998E-2</v>
      </c>
      <c r="S244" s="12">
        <v>5.7999999999999996E-3</v>
      </c>
      <c r="T244" s="12">
        <f>Q244/'סכום נכסי הקרן'!$C$42</f>
        <v>1.1385888588595237E-3</v>
      </c>
    </row>
    <row r="245" spans="2:20">
      <c r="B245" s="10" t="s">
        <v>471</v>
      </c>
      <c r="C245" s="43">
        <v>1118843</v>
      </c>
      <c r="D245" s="10" t="s">
        <v>138</v>
      </c>
      <c r="E245" s="10"/>
      <c r="F245" s="10">
        <v>2095</v>
      </c>
      <c r="G245" s="10" t="s">
        <v>247</v>
      </c>
      <c r="H245" s="10" t="s">
        <v>181</v>
      </c>
      <c r="I245" s="10" t="s">
        <v>95</v>
      </c>
      <c r="J245" s="10"/>
      <c r="K245" s="43">
        <v>0.99</v>
      </c>
      <c r="L245" s="10" t="s">
        <v>96</v>
      </c>
      <c r="M245" s="44">
        <v>5.5E-2</v>
      </c>
      <c r="N245" s="12">
        <v>9.5999999999999992E-3</v>
      </c>
      <c r="O245" s="11">
        <v>121213.05</v>
      </c>
      <c r="P245" s="11">
        <v>104.5</v>
      </c>
      <c r="Q245" s="11">
        <v>126.67</v>
      </c>
      <c r="R245" s="12">
        <v>1E-3</v>
      </c>
      <c r="S245" s="12">
        <v>2.0000000000000001E-4</v>
      </c>
      <c r="T245" s="12">
        <f>Q245/'סכום נכסי הקרן'!$C$42</f>
        <v>3.483343495387808E-5</v>
      </c>
    </row>
    <row r="246" spans="2:20">
      <c r="B246" s="10" t="s">
        <v>472</v>
      </c>
      <c r="C246" s="43">
        <v>1118835</v>
      </c>
      <c r="D246" s="10" t="s">
        <v>138</v>
      </c>
      <c r="E246" s="10"/>
      <c r="F246" s="10">
        <v>2095</v>
      </c>
      <c r="G246" s="10" t="s">
        <v>247</v>
      </c>
      <c r="H246" s="10" t="s">
        <v>181</v>
      </c>
      <c r="I246" s="10" t="s">
        <v>95</v>
      </c>
      <c r="J246" s="10"/>
      <c r="K246" s="43">
        <v>2.94</v>
      </c>
      <c r="L246" s="10" t="s">
        <v>96</v>
      </c>
      <c r="M246" s="44">
        <v>1.2869999999999999E-2</v>
      </c>
      <c r="N246" s="12">
        <v>1.15E-2</v>
      </c>
      <c r="O246" s="11">
        <v>165529.18</v>
      </c>
      <c r="P246" s="11">
        <v>100.4</v>
      </c>
      <c r="Q246" s="11">
        <v>166.19</v>
      </c>
      <c r="R246" s="12">
        <v>2.9999999999999997E-4</v>
      </c>
      <c r="S246" s="12">
        <v>2.0000000000000001E-4</v>
      </c>
      <c r="T246" s="12">
        <f>Q246/'סכום נכסי הקרן'!$C$42</f>
        <v>4.570118066617982E-5</v>
      </c>
    </row>
    <row r="247" spans="2:20">
      <c r="B247" s="10" t="s">
        <v>473</v>
      </c>
      <c r="C247" s="43">
        <v>1139591</v>
      </c>
      <c r="D247" s="10" t="s">
        <v>138</v>
      </c>
      <c r="E247" s="10"/>
      <c r="F247" s="10">
        <v>1585</v>
      </c>
      <c r="G247" s="10" t="s">
        <v>330</v>
      </c>
      <c r="H247" s="10" t="s">
        <v>181</v>
      </c>
      <c r="I247" s="10" t="s">
        <v>240</v>
      </c>
      <c r="J247" s="10"/>
      <c r="K247" s="43">
        <v>3.59</v>
      </c>
      <c r="L247" s="10" t="s">
        <v>96</v>
      </c>
      <c r="M247" s="44">
        <v>2.4E-2</v>
      </c>
      <c r="N247" s="12">
        <v>2.29E-2</v>
      </c>
      <c r="O247" s="11">
        <v>1422000</v>
      </c>
      <c r="P247" s="11">
        <v>100.6</v>
      </c>
      <c r="Q247" s="11">
        <v>1430.53</v>
      </c>
      <c r="R247" s="12">
        <v>5.5999999999999999E-3</v>
      </c>
      <c r="S247" s="12">
        <v>1.9E-3</v>
      </c>
      <c r="T247" s="12">
        <f>Q247/'סכום נכסי הקרן'!$C$42</f>
        <v>3.9338654539015715E-4</v>
      </c>
    </row>
    <row r="248" spans="2:20">
      <c r="B248" s="10" t="s">
        <v>474</v>
      </c>
      <c r="C248" s="43">
        <v>7770209</v>
      </c>
      <c r="D248" s="10" t="s">
        <v>138</v>
      </c>
      <c r="E248" s="10"/>
      <c r="F248" s="10">
        <v>777</v>
      </c>
      <c r="G248" s="10" t="s">
        <v>330</v>
      </c>
      <c r="H248" s="10" t="s">
        <v>181</v>
      </c>
      <c r="I248" s="10" t="s">
        <v>95</v>
      </c>
      <c r="J248" s="10"/>
      <c r="K248" s="43">
        <v>5.78</v>
      </c>
      <c r="L248" s="10" t="s">
        <v>96</v>
      </c>
      <c r="M248" s="44">
        <v>5.0900000000000001E-2</v>
      </c>
      <c r="N248" s="12">
        <v>3.56E-2</v>
      </c>
      <c r="O248" s="11">
        <v>2008285.71</v>
      </c>
      <c r="P248" s="11">
        <v>109.91</v>
      </c>
      <c r="Q248" s="11">
        <v>2207.31</v>
      </c>
      <c r="R248" s="12">
        <v>2.3999999999999998E-3</v>
      </c>
      <c r="S248" s="12">
        <v>2.8999999999999998E-3</v>
      </c>
      <c r="T248" s="12">
        <f>Q248/'סכום נכסי הקרן'!$C$42</f>
        <v>6.0699604727279251E-4</v>
      </c>
    </row>
    <row r="249" spans="2:20">
      <c r="B249" s="10" t="s">
        <v>475</v>
      </c>
      <c r="C249" s="43">
        <v>1133289</v>
      </c>
      <c r="D249" s="10" t="s">
        <v>138</v>
      </c>
      <c r="E249" s="10"/>
      <c r="F249" s="10">
        <v>1390</v>
      </c>
      <c r="G249" s="10" t="s">
        <v>405</v>
      </c>
      <c r="H249" s="10" t="s">
        <v>333</v>
      </c>
      <c r="I249" s="10" t="s">
        <v>95</v>
      </c>
      <c r="J249" s="10"/>
      <c r="K249" s="43">
        <v>4.92</v>
      </c>
      <c r="L249" s="10" t="s">
        <v>96</v>
      </c>
      <c r="M249" s="44">
        <v>4.7500000000000001E-2</v>
      </c>
      <c r="N249" s="12">
        <v>3.1099999999999999E-2</v>
      </c>
      <c r="O249" s="11">
        <v>528337.72</v>
      </c>
      <c r="P249" s="11">
        <v>108.3</v>
      </c>
      <c r="Q249" s="11">
        <v>572.19000000000005</v>
      </c>
      <c r="R249" s="12">
        <v>1.1000000000000001E-3</v>
      </c>
      <c r="S249" s="12">
        <v>6.9999999999999999E-4</v>
      </c>
      <c r="T249" s="12">
        <f>Q249/'סכום נכסי הקרן'!$C$42</f>
        <v>1.5734856829761979E-4</v>
      </c>
    </row>
    <row r="250" spans="2:20">
      <c r="B250" s="10" t="s">
        <v>476</v>
      </c>
      <c r="C250" s="43">
        <v>7150360</v>
      </c>
      <c r="D250" s="10" t="s">
        <v>138</v>
      </c>
      <c r="E250" s="10"/>
      <c r="F250" s="10">
        <v>715</v>
      </c>
      <c r="G250" s="10" t="s">
        <v>239</v>
      </c>
      <c r="H250" s="10" t="s">
        <v>333</v>
      </c>
      <c r="I250" s="10" t="s">
        <v>240</v>
      </c>
      <c r="J250" s="10"/>
      <c r="K250" s="43">
        <v>5.03</v>
      </c>
      <c r="L250" s="10" t="s">
        <v>96</v>
      </c>
      <c r="M250" s="44">
        <v>3.15E-2</v>
      </c>
      <c r="N250" s="12">
        <v>3.39E-2</v>
      </c>
      <c r="O250" s="11">
        <v>303950.53999999998</v>
      </c>
      <c r="P250" s="11">
        <v>98.96</v>
      </c>
      <c r="Q250" s="11">
        <v>300.79000000000002</v>
      </c>
      <c r="R250" s="12">
        <v>1.6999999999999999E-3</v>
      </c>
      <c r="S250" s="12">
        <v>4.0000000000000002E-4</v>
      </c>
      <c r="T250" s="12">
        <f>Q250/'סכום נכסי הקרן'!$C$42</f>
        <v>8.2715314595223715E-5</v>
      </c>
    </row>
    <row r="251" spans="2:20">
      <c r="B251" s="10" t="s">
        <v>477</v>
      </c>
      <c r="C251" s="43">
        <v>2510170</v>
      </c>
      <c r="D251" s="10" t="s">
        <v>138</v>
      </c>
      <c r="E251" s="10"/>
      <c r="F251" s="10">
        <v>251</v>
      </c>
      <c r="G251" s="10" t="s">
        <v>239</v>
      </c>
      <c r="H251" s="10" t="s">
        <v>333</v>
      </c>
      <c r="I251" s="10" t="s">
        <v>95</v>
      </c>
      <c r="J251" s="10"/>
      <c r="K251" s="43">
        <v>6.77</v>
      </c>
      <c r="L251" s="10" t="s">
        <v>96</v>
      </c>
      <c r="M251" s="44">
        <v>4.9000000000000002E-2</v>
      </c>
      <c r="N251" s="12">
        <v>3.61E-2</v>
      </c>
      <c r="O251" s="11">
        <v>1970633.05</v>
      </c>
      <c r="P251" s="11">
        <v>105.77</v>
      </c>
      <c r="Q251" s="11">
        <v>2084.34</v>
      </c>
      <c r="R251" s="12">
        <v>3.5000000000000001E-3</v>
      </c>
      <c r="S251" s="12">
        <v>2.7000000000000001E-3</v>
      </c>
      <c r="T251" s="12">
        <f>Q251/'סכום נכסי הקרן'!$C$42</f>
        <v>5.7318008851161477E-4</v>
      </c>
    </row>
    <row r="252" spans="2:20">
      <c r="B252" s="10" t="s">
        <v>478</v>
      </c>
      <c r="C252" s="43">
        <v>1132331</v>
      </c>
      <c r="D252" s="10" t="s">
        <v>138</v>
      </c>
      <c r="E252" s="10"/>
      <c r="F252" s="10">
        <v>1618</v>
      </c>
      <c r="G252" s="10" t="s">
        <v>239</v>
      </c>
      <c r="H252" s="10" t="s">
        <v>333</v>
      </c>
      <c r="I252" s="10" t="s">
        <v>95</v>
      </c>
      <c r="J252" s="10"/>
      <c r="K252" s="43">
        <v>3.93</v>
      </c>
      <c r="L252" s="10" t="s">
        <v>96</v>
      </c>
      <c r="M252" s="44">
        <v>4.2000000000000003E-2</v>
      </c>
      <c r="N252" s="12">
        <v>3.5900000000000001E-2</v>
      </c>
      <c r="O252" s="11">
        <v>2487996</v>
      </c>
      <c r="P252" s="11">
        <v>103.09</v>
      </c>
      <c r="Q252" s="11">
        <v>2564.88</v>
      </c>
      <c r="R252" s="12">
        <v>2.3E-3</v>
      </c>
      <c r="S252" s="12">
        <v>3.3E-3</v>
      </c>
      <c r="T252" s="12">
        <f>Q252/'סכום נכסי הקרן'!$C$42</f>
        <v>7.0532549652248212E-4</v>
      </c>
    </row>
    <row r="253" spans="2:20">
      <c r="B253" s="10" t="s">
        <v>479</v>
      </c>
      <c r="C253" s="43">
        <v>1133784</v>
      </c>
      <c r="D253" s="10" t="s">
        <v>138</v>
      </c>
      <c r="E253" s="10"/>
      <c r="F253" s="10">
        <v>1130</v>
      </c>
      <c r="G253" s="10" t="s">
        <v>239</v>
      </c>
      <c r="H253" s="10" t="s">
        <v>333</v>
      </c>
      <c r="I253" s="10" t="s">
        <v>240</v>
      </c>
      <c r="J253" s="10"/>
      <c r="K253" s="43">
        <v>5.44</v>
      </c>
      <c r="L253" s="10" t="s">
        <v>96</v>
      </c>
      <c r="M253" s="44">
        <v>3.5000000000000003E-2</v>
      </c>
      <c r="N253" s="12">
        <v>3.2099999999999997E-2</v>
      </c>
      <c r="O253" s="11">
        <v>4113998</v>
      </c>
      <c r="P253" s="11">
        <v>101.96</v>
      </c>
      <c r="Q253" s="11">
        <v>4194.63</v>
      </c>
      <c r="R253" s="12">
        <v>3.7400000000000003E-2</v>
      </c>
      <c r="S253" s="12">
        <v>5.4000000000000003E-3</v>
      </c>
      <c r="T253" s="12">
        <f>Q253/'סכום נכסי הקרן'!$C$42</f>
        <v>1.1534962600504115E-3</v>
      </c>
    </row>
    <row r="254" spans="2:20">
      <c r="B254" s="10" t="s">
        <v>480</v>
      </c>
      <c r="C254" s="43">
        <v>1115062</v>
      </c>
      <c r="D254" s="10" t="s">
        <v>138</v>
      </c>
      <c r="E254" s="10"/>
      <c r="F254" s="10">
        <v>1095</v>
      </c>
      <c r="G254" s="10" t="s">
        <v>307</v>
      </c>
      <c r="H254" s="10" t="s">
        <v>333</v>
      </c>
      <c r="I254" s="10" t="s">
        <v>240</v>
      </c>
      <c r="J254" s="10"/>
      <c r="K254" s="43">
        <v>1.45</v>
      </c>
      <c r="L254" s="10" t="s">
        <v>96</v>
      </c>
      <c r="M254" s="44">
        <v>8.5000000000000006E-2</v>
      </c>
      <c r="N254" s="12">
        <v>1.3100000000000001E-2</v>
      </c>
      <c r="O254" s="11">
        <v>4932351</v>
      </c>
      <c r="P254" s="11">
        <v>112.73</v>
      </c>
      <c r="Q254" s="11">
        <v>5560.24</v>
      </c>
      <c r="R254" s="12">
        <v>1.18E-2</v>
      </c>
      <c r="S254" s="12">
        <v>7.1999999999999998E-3</v>
      </c>
      <c r="T254" s="12">
        <f>Q254/'סכום נכסי הקרן'!$C$42</f>
        <v>1.5290302231621619E-3</v>
      </c>
    </row>
    <row r="255" spans="2:20">
      <c r="B255" s="10" t="s">
        <v>481</v>
      </c>
      <c r="C255" s="43">
        <v>1138882</v>
      </c>
      <c r="D255" s="10" t="s">
        <v>138</v>
      </c>
      <c r="E255" s="10"/>
      <c r="F255" s="10">
        <v>1095</v>
      </c>
      <c r="G255" s="10" t="s">
        <v>307</v>
      </c>
      <c r="H255" s="10" t="s">
        <v>333</v>
      </c>
      <c r="I255" s="10" t="s">
        <v>95</v>
      </c>
      <c r="J255" s="10"/>
      <c r="K255" s="43">
        <v>4.67</v>
      </c>
      <c r="L255" s="10" t="s">
        <v>96</v>
      </c>
      <c r="M255" s="44">
        <v>2.8000000000000001E-2</v>
      </c>
      <c r="N255" s="12">
        <v>3.3000000000000002E-2</v>
      </c>
      <c r="O255" s="11">
        <v>1284000</v>
      </c>
      <c r="P255" s="11">
        <v>99</v>
      </c>
      <c r="Q255" s="11">
        <v>1271.1600000000001</v>
      </c>
      <c r="R255" s="12">
        <v>1.8E-3</v>
      </c>
      <c r="S255" s="12">
        <v>1.6999999999999999E-3</v>
      </c>
      <c r="T255" s="12">
        <f>Q255/'סכום נכסי הקרן'!$C$42</f>
        <v>3.4956082084133312E-4</v>
      </c>
    </row>
    <row r="256" spans="2:20">
      <c r="B256" s="10" t="s">
        <v>482</v>
      </c>
      <c r="C256" s="43">
        <v>1134790</v>
      </c>
      <c r="D256" s="10" t="s">
        <v>138</v>
      </c>
      <c r="E256" s="10"/>
      <c r="F256" s="10">
        <v>1095</v>
      </c>
      <c r="G256" s="10" t="s">
        <v>307</v>
      </c>
      <c r="H256" s="10" t="s">
        <v>333</v>
      </c>
      <c r="I256" s="10" t="s">
        <v>95</v>
      </c>
      <c r="J256" s="10"/>
      <c r="K256" s="43">
        <v>5.52</v>
      </c>
      <c r="L256" s="10" t="s">
        <v>96</v>
      </c>
      <c r="M256" s="44">
        <v>4.2999999999999997E-2</v>
      </c>
      <c r="N256" s="12">
        <v>4.07E-2</v>
      </c>
      <c r="O256" s="11">
        <v>3771965.21</v>
      </c>
      <c r="P256" s="11">
        <v>103</v>
      </c>
      <c r="Q256" s="11">
        <v>3885.12</v>
      </c>
      <c r="R256" s="12">
        <v>1.6999999999999999E-3</v>
      </c>
      <c r="S256" s="12">
        <v>5.0000000000000001E-3</v>
      </c>
      <c r="T256" s="12">
        <f>Q256/'סכום נכסי הקרן'!$C$42</f>
        <v>1.068383001563202E-3</v>
      </c>
    </row>
    <row r="257" spans="2:20">
      <c r="B257" s="10" t="s">
        <v>483</v>
      </c>
      <c r="C257" s="43">
        <v>1134261</v>
      </c>
      <c r="D257" s="10" t="s">
        <v>138</v>
      </c>
      <c r="E257" s="10"/>
      <c r="F257" s="10">
        <v>1193</v>
      </c>
      <c r="G257" s="10" t="s">
        <v>239</v>
      </c>
      <c r="H257" s="10" t="s">
        <v>333</v>
      </c>
      <c r="I257" s="10" t="s">
        <v>240</v>
      </c>
      <c r="J257" s="10"/>
      <c r="K257" s="43">
        <v>2.27</v>
      </c>
      <c r="L257" s="10" t="s">
        <v>96</v>
      </c>
      <c r="M257" s="44">
        <v>3.5000000000000003E-2</v>
      </c>
      <c r="N257" s="12">
        <v>2.3800000000000002E-2</v>
      </c>
      <c r="O257" s="11">
        <v>662024.80000000005</v>
      </c>
      <c r="P257" s="11">
        <v>102.55</v>
      </c>
      <c r="Q257" s="11">
        <v>678.91</v>
      </c>
      <c r="R257" s="12">
        <v>4.1000000000000003E-3</v>
      </c>
      <c r="S257" s="12">
        <v>8.9999999999999998E-4</v>
      </c>
      <c r="T257" s="12">
        <f>Q257/'סכום נכסי הקרן'!$C$42</f>
        <v>1.8669588161788399E-4</v>
      </c>
    </row>
    <row r="258" spans="2:20">
      <c r="B258" s="10" t="s">
        <v>484</v>
      </c>
      <c r="C258" s="43">
        <v>5760202</v>
      </c>
      <c r="D258" s="10" t="s">
        <v>138</v>
      </c>
      <c r="E258" s="10"/>
      <c r="F258" s="10">
        <v>576</v>
      </c>
      <c r="G258" s="10" t="s">
        <v>307</v>
      </c>
      <c r="H258" s="10" t="s">
        <v>333</v>
      </c>
      <c r="I258" s="10" t="s">
        <v>95</v>
      </c>
      <c r="J258" s="10"/>
      <c r="K258" s="43">
        <v>0.99</v>
      </c>
      <c r="L258" s="10" t="s">
        <v>96</v>
      </c>
      <c r="M258" s="44">
        <v>0.06</v>
      </c>
      <c r="N258" s="12">
        <v>8.9999999999999993E-3</v>
      </c>
      <c r="O258" s="11">
        <v>1569035.52</v>
      </c>
      <c r="P258" s="11">
        <v>105.31</v>
      </c>
      <c r="Q258" s="11">
        <f>1652.35-373.87</f>
        <v>1278.48</v>
      </c>
      <c r="R258" s="12">
        <v>7.1999999999999998E-3</v>
      </c>
      <c r="S258" s="12">
        <v>2.0999999999999999E-3</v>
      </c>
      <c r="T258" s="12">
        <f>Q258/'סכום נכסי הקרן'!$C$42</f>
        <v>3.5157377374148613E-4</v>
      </c>
    </row>
    <row r="259" spans="2:20">
      <c r="B259" s="10" t="s">
        <v>485</v>
      </c>
      <c r="C259" s="43">
        <v>1138494</v>
      </c>
      <c r="D259" s="10" t="s">
        <v>138</v>
      </c>
      <c r="E259" s="10"/>
      <c r="F259" s="10">
        <v>2028</v>
      </c>
      <c r="G259" s="10" t="s">
        <v>486</v>
      </c>
      <c r="H259" s="10" t="s">
        <v>333</v>
      </c>
      <c r="I259" s="10" t="s">
        <v>95</v>
      </c>
      <c r="J259" s="10"/>
      <c r="K259" s="43">
        <v>4.41</v>
      </c>
      <c r="L259" s="10" t="s">
        <v>96</v>
      </c>
      <c r="M259" s="44">
        <v>2.7900000000000001E-2</v>
      </c>
      <c r="N259" s="12">
        <v>2.7699999999999999E-2</v>
      </c>
      <c r="O259" s="11">
        <v>2086000</v>
      </c>
      <c r="P259" s="11">
        <v>101.78</v>
      </c>
      <c r="Q259" s="11">
        <v>2123.13</v>
      </c>
      <c r="R259" s="12">
        <v>4.4999999999999997E-3</v>
      </c>
      <c r="S259" s="12">
        <v>2.8E-3</v>
      </c>
      <c r="T259" s="12">
        <f>Q259/'סכום נכסי הקרן'!$C$42</f>
        <v>5.838470889210324E-4</v>
      </c>
    </row>
    <row r="260" spans="2:20">
      <c r="B260" s="10" t="s">
        <v>487</v>
      </c>
      <c r="C260" s="43">
        <v>1136803</v>
      </c>
      <c r="D260" s="10" t="s">
        <v>138</v>
      </c>
      <c r="E260" s="10"/>
      <c r="F260" s="10">
        <v>1614</v>
      </c>
      <c r="G260" s="10" t="s">
        <v>239</v>
      </c>
      <c r="H260" s="10" t="s">
        <v>333</v>
      </c>
      <c r="I260" s="10" t="s">
        <v>240</v>
      </c>
      <c r="J260" s="10"/>
      <c r="K260" s="43">
        <v>4.5599999999999996</v>
      </c>
      <c r="L260" s="10" t="s">
        <v>96</v>
      </c>
      <c r="M260" s="44">
        <v>3.3500000000000002E-2</v>
      </c>
      <c r="N260" s="12">
        <v>2.93E-2</v>
      </c>
      <c r="O260" s="11">
        <v>2426000</v>
      </c>
      <c r="P260" s="11">
        <v>102.84</v>
      </c>
      <c r="Q260" s="11">
        <v>2494.9</v>
      </c>
      <c r="R260" s="12">
        <v>8.0000000000000002E-3</v>
      </c>
      <c r="S260" s="12">
        <v>3.2000000000000002E-3</v>
      </c>
      <c r="T260" s="12">
        <f>Q260/'סכום נכסי הקרן'!$C$42</f>
        <v>6.860814468021664E-4</v>
      </c>
    </row>
    <row r="261" spans="2:20">
      <c r="B261" s="10" t="s">
        <v>488</v>
      </c>
      <c r="C261" s="43">
        <v>1132687</v>
      </c>
      <c r="D261" s="10" t="s">
        <v>138</v>
      </c>
      <c r="E261" s="10"/>
      <c r="F261" s="10">
        <v>1450</v>
      </c>
      <c r="G261" s="10" t="s">
        <v>239</v>
      </c>
      <c r="H261" s="10" t="s">
        <v>333</v>
      </c>
      <c r="I261" s="10" t="s">
        <v>95</v>
      </c>
      <c r="J261" s="10"/>
      <c r="K261" s="43">
        <v>4.92</v>
      </c>
      <c r="L261" s="10" t="s">
        <v>96</v>
      </c>
      <c r="M261" s="44">
        <v>3.6999999999999998E-2</v>
      </c>
      <c r="N261" s="12">
        <v>2.6700000000000002E-2</v>
      </c>
      <c r="O261" s="11">
        <v>573737.06000000006</v>
      </c>
      <c r="P261" s="11">
        <v>105.18</v>
      </c>
      <c r="Q261" s="11">
        <v>603.46</v>
      </c>
      <c r="R261" s="12">
        <v>2.3E-3</v>
      </c>
      <c r="S261" s="12">
        <v>8.0000000000000004E-4</v>
      </c>
      <c r="T261" s="12">
        <f>Q261/'סכום נכסי הקרן'!$C$42</f>
        <v>1.6594761709376544E-4</v>
      </c>
    </row>
    <row r="262" spans="2:20">
      <c r="B262" s="10" t="s">
        <v>489</v>
      </c>
      <c r="C262" s="43">
        <v>6320105</v>
      </c>
      <c r="D262" s="10" t="s">
        <v>138</v>
      </c>
      <c r="E262" s="10"/>
      <c r="F262" s="10">
        <v>632</v>
      </c>
      <c r="G262" s="10" t="s">
        <v>184</v>
      </c>
      <c r="H262" s="10" t="s">
        <v>333</v>
      </c>
      <c r="I262" s="10" t="s">
        <v>95</v>
      </c>
      <c r="J262" s="10"/>
      <c r="K262" s="43">
        <v>4.83</v>
      </c>
      <c r="L262" s="10" t="s">
        <v>96</v>
      </c>
      <c r="M262" s="44">
        <v>5.8900000000000001E-2</v>
      </c>
      <c r="N262" s="12">
        <v>3.0800000000000001E-2</v>
      </c>
      <c r="O262" s="11">
        <v>3610892.34</v>
      </c>
      <c r="P262" s="11">
        <v>114.08</v>
      </c>
      <c r="Q262" s="11">
        <f>4119-130.8231</f>
        <v>3988.1768999999999</v>
      </c>
      <c r="R262" s="12">
        <v>7.0000000000000001E-3</v>
      </c>
      <c r="S262" s="12">
        <v>5.3E-3</v>
      </c>
      <c r="T262" s="12">
        <f>Q262/'סכום נכסי הקרן'!$C$42</f>
        <v>1.0967229859533364E-3</v>
      </c>
    </row>
    <row r="263" spans="2:20">
      <c r="B263" s="10" t="s">
        <v>490</v>
      </c>
      <c r="C263" s="43">
        <v>1115070</v>
      </c>
      <c r="D263" s="10" t="s">
        <v>138</v>
      </c>
      <c r="E263" s="10"/>
      <c r="F263" s="10">
        <v>1095</v>
      </c>
      <c r="G263" s="10" t="s">
        <v>307</v>
      </c>
      <c r="H263" s="10" t="s">
        <v>333</v>
      </c>
      <c r="I263" s="10" t="s">
        <v>240</v>
      </c>
      <c r="J263" s="10"/>
      <c r="K263" s="43">
        <v>0.78</v>
      </c>
      <c r="L263" s="10" t="s">
        <v>96</v>
      </c>
      <c r="M263" s="44">
        <v>8.5000000000000006E-2</v>
      </c>
      <c r="N263" s="12">
        <v>8.5000000000000006E-3</v>
      </c>
      <c r="O263" s="11">
        <v>226942.39</v>
      </c>
      <c r="P263" s="11">
        <v>107.78</v>
      </c>
      <c r="Q263" s="11">
        <v>244.6</v>
      </c>
      <c r="R263" s="12">
        <v>8.0000000000000004E-4</v>
      </c>
      <c r="S263" s="12">
        <v>2.9999999999999997E-4</v>
      </c>
      <c r="T263" s="12">
        <f>Q263/'סכום נכסי הקרן'!$C$42</f>
        <v>6.7263426144458652E-5</v>
      </c>
    </row>
    <row r="264" spans="2:20">
      <c r="B264" s="10" t="s">
        <v>491</v>
      </c>
      <c r="C264" s="43">
        <v>4590147</v>
      </c>
      <c r="D264" s="10" t="s">
        <v>138</v>
      </c>
      <c r="E264" s="10"/>
      <c r="F264" s="10">
        <v>459</v>
      </c>
      <c r="G264" s="10" t="s">
        <v>356</v>
      </c>
      <c r="H264" s="10" t="s">
        <v>333</v>
      </c>
      <c r="I264" s="10" t="s">
        <v>95</v>
      </c>
      <c r="J264" s="10"/>
      <c r="K264" s="43">
        <v>3.12</v>
      </c>
      <c r="L264" s="10" t="s">
        <v>96</v>
      </c>
      <c r="M264" s="44">
        <v>3.4000000000000002E-2</v>
      </c>
      <c r="N264" s="12">
        <v>3.3700000000000001E-2</v>
      </c>
      <c r="O264" s="11">
        <v>4254837.1100000003</v>
      </c>
      <c r="P264" s="11">
        <v>100.68</v>
      </c>
      <c r="Q264" s="11">
        <v>4283.7700000000004</v>
      </c>
      <c r="R264" s="12">
        <v>9.4000000000000004E-3</v>
      </c>
      <c r="S264" s="12">
        <v>5.5999999999999999E-3</v>
      </c>
      <c r="T264" s="12">
        <f>Q264/'סכום נכסי הקרן'!$C$42</f>
        <v>1.1780091864875212E-3</v>
      </c>
    </row>
    <row r="265" spans="2:20">
      <c r="B265" s="10" t="s">
        <v>492</v>
      </c>
      <c r="C265" s="43">
        <v>1129741</v>
      </c>
      <c r="D265" s="10" t="s">
        <v>138</v>
      </c>
      <c r="E265" s="10"/>
      <c r="F265" s="10">
        <v>1068</v>
      </c>
      <c r="G265" s="10" t="s">
        <v>239</v>
      </c>
      <c r="H265" s="10" t="s">
        <v>333</v>
      </c>
      <c r="I265" s="10" t="s">
        <v>95</v>
      </c>
      <c r="J265" s="10"/>
      <c r="K265" s="43">
        <v>4.8</v>
      </c>
      <c r="L265" s="10" t="s">
        <v>96</v>
      </c>
      <c r="M265" s="44">
        <v>5.9799999999999999E-2</v>
      </c>
      <c r="N265" s="12">
        <v>3.5099999999999999E-2</v>
      </c>
      <c r="O265" s="11">
        <v>1879490.09</v>
      </c>
      <c r="P265" s="11">
        <v>115.2</v>
      </c>
      <c r="Q265" s="11">
        <v>2165.17</v>
      </c>
      <c r="R265" s="12">
        <v>3.2000000000000002E-3</v>
      </c>
      <c r="S265" s="12">
        <v>2.8E-3</v>
      </c>
      <c r="T265" s="12">
        <f>Q265/'סכום נכסי הקרן'!$C$42</f>
        <v>5.9540781841863272E-4</v>
      </c>
    </row>
    <row r="266" spans="2:20">
      <c r="B266" s="10" t="s">
        <v>493</v>
      </c>
      <c r="C266" s="43">
        <v>1410273</v>
      </c>
      <c r="D266" s="10" t="s">
        <v>138</v>
      </c>
      <c r="E266" s="10"/>
      <c r="F266" s="10">
        <v>141</v>
      </c>
      <c r="G266" s="10" t="s">
        <v>356</v>
      </c>
      <c r="H266" s="10" t="s">
        <v>333</v>
      </c>
      <c r="I266" s="10" t="s">
        <v>95</v>
      </c>
      <c r="J266" s="10"/>
      <c r="K266" s="43">
        <v>1.6</v>
      </c>
      <c r="L266" s="10" t="s">
        <v>96</v>
      </c>
      <c r="M266" s="44">
        <v>5.7500000000000002E-2</v>
      </c>
      <c r="N266" s="12">
        <v>1.9199999999999998E-2</v>
      </c>
      <c r="O266" s="11">
        <v>1145611.1000000001</v>
      </c>
      <c r="P266" s="11">
        <v>106.74</v>
      </c>
      <c r="Q266" s="11">
        <v>1222.83</v>
      </c>
      <c r="R266" s="12">
        <v>3.5000000000000001E-3</v>
      </c>
      <c r="S266" s="12">
        <v>1.6000000000000001E-3</v>
      </c>
      <c r="T266" s="12">
        <f>Q266/'סכום נכסי הקרן'!$C$42</f>
        <v>3.3627038181614218E-4</v>
      </c>
    </row>
    <row r="267" spans="2:20">
      <c r="B267" s="10" t="s">
        <v>494</v>
      </c>
      <c r="C267" s="43">
        <v>2580066</v>
      </c>
      <c r="D267" s="10" t="s">
        <v>138</v>
      </c>
      <c r="E267" s="10"/>
      <c r="F267" s="10">
        <v>258</v>
      </c>
      <c r="G267" s="10" t="s">
        <v>330</v>
      </c>
      <c r="H267" s="10" t="s">
        <v>333</v>
      </c>
      <c r="I267" s="10" t="s">
        <v>240</v>
      </c>
      <c r="J267" s="10"/>
      <c r="K267" s="43">
        <v>2.4300000000000002</v>
      </c>
      <c r="L267" s="10" t="s">
        <v>96</v>
      </c>
      <c r="M267" s="44">
        <v>4.3999999999999997E-2</v>
      </c>
      <c r="N267" s="12">
        <v>2.3699999999999999E-2</v>
      </c>
      <c r="O267" s="11">
        <v>344000</v>
      </c>
      <c r="P267" s="11">
        <v>106.85</v>
      </c>
      <c r="Q267" s="11">
        <v>367.56</v>
      </c>
      <c r="R267" s="12">
        <v>3.3999999999999998E-3</v>
      </c>
      <c r="S267" s="12">
        <v>5.0000000000000001E-4</v>
      </c>
      <c r="T267" s="12">
        <f>Q267/'סכום נכסי הקרן'!$C$42</f>
        <v>1.0107663496998048E-4</v>
      </c>
    </row>
    <row r="268" spans="2:20">
      <c r="B268" s="10" t="s">
        <v>495</v>
      </c>
      <c r="C268" s="43">
        <v>1132562</v>
      </c>
      <c r="D268" s="10" t="s">
        <v>138</v>
      </c>
      <c r="E268" s="10"/>
      <c r="F268" s="10">
        <v>1382</v>
      </c>
      <c r="G268" s="10" t="s">
        <v>356</v>
      </c>
      <c r="H268" s="10" t="s">
        <v>360</v>
      </c>
      <c r="I268" s="10" t="s">
        <v>240</v>
      </c>
      <c r="J268" s="10"/>
      <c r="K268" s="43">
        <v>2.38</v>
      </c>
      <c r="L268" s="10" t="s">
        <v>96</v>
      </c>
      <c r="M268" s="44">
        <v>3.3000000000000002E-2</v>
      </c>
      <c r="N268" s="12">
        <v>2.8299999999999999E-2</v>
      </c>
      <c r="O268" s="11">
        <v>1965331.32</v>
      </c>
      <c r="P268" s="11">
        <v>101.6</v>
      </c>
      <c r="Q268" s="11">
        <v>1996.78</v>
      </c>
      <c r="R268" s="12">
        <v>2.5999999999999999E-3</v>
      </c>
      <c r="S268" s="12">
        <v>2.5999999999999999E-3</v>
      </c>
      <c r="T268" s="12">
        <f>Q268/'סכום נכסי הקרן'!$C$42</f>
        <v>5.4910165190814452E-4</v>
      </c>
    </row>
    <row r="269" spans="2:20">
      <c r="B269" s="10" t="s">
        <v>496</v>
      </c>
      <c r="C269" s="43">
        <v>1115419</v>
      </c>
      <c r="D269" s="10" t="s">
        <v>138</v>
      </c>
      <c r="E269" s="10"/>
      <c r="F269" s="10">
        <v>1382</v>
      </c>
      <c r="G269" s="10" t="s">
        <v>356</v>
      </c>
      <c r="H269" s="10" t="s">
        <v>360</v>
      </c>
      <c r="I269" s="10" t="s">
        <v>240</v>
      </c>
      <c r="J269" s="10"/>
      <c r="K269" s="7"/>
      <c r="L269" s="10" t="s">
        <v>96</v>
      </c>
      <c r="M269" s="44">
        <v>5.5800000000000002E-2</v>
      </c>
      <c r="N269" s="7"/>
      <c r="O269" s="11">
        <v>-0.1</v>
      </c>
      <c r="P269" s="11">
        <v>101.25</v>
      </c>
      <c r="Q269" s="11">
        <v>0</v>
      </c>
      <c r="R269" s="12">
        <v>0</v>
      </c>
      <c r="S269" s="12">
        <v>0</v>
      </c>
      <c r="T269" s="12">
        <f>Q269/'סכום נכסי הקרן'!$C$42</f>
        <v>0</v>
      </c>
    </row>
    <row r="270" spans="2:20">
      <c r="B270" s="10" t="s">
        <v>497</v>
      </c>
      <c r="C270" s="43">
        <v>1138536</v>
      </c>
      <c r="D270" s="10" t="s">
        <v>138</v>
      </c>
      <c r="E270" s="10"/>
      <c r="F270" s="10">
        <v>1382</v>
      </c>
      <c r="G270" s="10" t="s">
        <v>356</v>
      </c>
      <c r="H270" s="10" t="s">
        <v>360</v>
      </c>
      <c r="I270" s="10" t="s">
        <v>240</v>
      </c>
      <c r="J270" s="10"/>
      <c r="K270" s="43">
        <v>3.38</v>
      </c>
      <c r="L270" s="10" t="s">
        <v>96</v>
      </c>
      <c r="M270" s="44">
        <v>0.03</v>
      </c>
      <c r="N270" s="12">
        <v>3.15E-2</v>
      </c>
      <c r="O270" s="11">
        <v>310000</v>
      </c>
      <c r="P270" s="11">
        <v>99.99</v>
      </c>
      <c r="Q270" s="11">
        <v>309.97000000000003</v>
      </c>
      <c r="R270" s="12">
        <v>8.9999999999999998E-4</v>
      </c>
      <c r="S270" s="12">
        <v>4.0000000000000002E-4</v>
      </c>
      <c r="T270" s="12">
        <f>Q270/'סכום נכסי הקרן'!$C$42</f>
        <v>8.5239755527382873E-5</v>
      </c>
    </row>
    <row r="271" spans="2:20">
      <c r="B271" s="10" t="s">
        <v>498</v>
      </c>
      <c r="C271" s="43">
        <v>5780085</v>
      </c>
      <c r="D271" s="10" t="s">
        <v>138</v>
      </c>
      <c r="E271" s="10"/>
      <c r="F271" s="10">
        <v>578</v>
      </c>
      <c r="G271" s="10" t="s">
        <v>403</v>
      </c>
      <c r="H271" s="10" t="s">
        <v>360</v>
      </c>
      <c r="I271" s="10" t="s">
        <v>95</v>
      </c>
      <c r="J271" s="10"/>
      <c r="K271" s="43">
        <v>0.25</v>
      </c>
      <c r="L271" s="10" t="s">
        <v>96</v>
      </c>
      <c r="M271" s="44">
        <v>6.9000000000000006E-2</v>
      </c>
      <c r="N271" s="12">
        <v>1.2999999999999999E-2</v>
      </c>
      <c r="O271" s="11">
        <v>568118.63</v>
      </c>
      <c r="P271" s="11">
        <v>103.11</v>
      </c>
      <c r="Q271" s="11">
        <v>585.79</v>
      </c>
      <c r="R271" s="12">
        <v>2.1899999999999999E-2</v>
      </c>
      <c r="S271" s="12">
        <v>8.0000000000000004E-4</v>
      </c>
      <c r="T271" s="12">
        <f>Q271/'סכום נכסי הקרן'!$C$42</f>
        <v>1.6108848078970743E-4</v>
      </c>
    </row>
    <row r="272" spans="2:20">
      <c r="B272" s="10" t="s">
        <v>499</v>
      </c>
      <c r="C272" s="43">
        <v>1135607</v>
      </c>
      <c r="D272" s="10" t="s">
        <v>138</v>
      </c>
      <c r="E272" s="10"/>
      <c r="F272" s="10">
        <v>1448</v>
      </c>
      <c r="G272" s="10" t="s">
        <v>239</v>
      </c>
      <c r="H272" s="10" t="s">
        <v>360</v>
      </c>
      <c r="I272" s="10" t="s">
        <v>240</v>
      </c>
      <c r="J272" s="10"/>
      <c r="K272" s="43">
        <v>3.71</v>
      </c>
      <c r="L272" s="10" t="s">
        <v>96</v>
      </c>
      <c r="M272" s="44">
        <v>4.2000000000000003E-2</v>
      </c>
      <c r="N272" s="12">
        <v>2.9100000000000001E-2</v>
      </c>
      <c r="O272" s="11">
        <v>459014.6</v>
      </c>
      <c r="P272" s="11">
        <v>104.83</v>
      </c>
      <c r="Q272" s="11">
        <v>481.19</v>
      </c>
      <c r="R272" s="12">
        <v>1.6000000000000001E-3</v>
      </c>
      <c r="S272" s="12">
        <v>5.9999999999999995E-4</v>
      </c>
      <c r="T272" s="12">
        <f>Q272/'סכום נכסי הקרן'!$C$42</f>
        <v>1.3232415382850393E-4</v>
      </c>
    </row>
    <row r="273" spans="2:20">
      <c r="B273" s="10" t="s">
        <v>500</v>
      </c>
      <c r="C273" s="43">
        <v>2260420</v>
      </c>
      <c r="D273" s="10" t="s">
        <v>138</v>
      </c>
      <c r="E273" s="10"/>
      <c r="F273" s="10">
        <v>226</v>
      </c>
      <c r="G273" s="10" t="s">
        <v>239</v>
      </c>
      <c r="H273" s="10" t="s">
        <v>360</v>
      </c>
      <c r="I273" s="10" t="s">
        <v>95</v>
      </c>
      <c r="J273" s="10"/>
      <c r="K273" s="43">
        <v>3.8</v>
      </c>
      <c r="L273" s="10" t="s">
        <v>96</v>
      </c>
      <c r="M273" s="44">
        <v>6.2399999999999997E-2</v>
      </c>
      <c r="N273" s="12">
        <v>3.3799999999999997E-2</v>
      </c>
      <c r="O273" s="11">
        <v>3141480</v>
      </c>
      <c r="P273" s="11">
        <v>111.05</v>
      </c>
      <c r="Q273" s="11">
        <v>3488.61</v>
      </c>
      <c r="R273" s="12">
        <v>7.4999999999999997E-3</v>
      </c>
      <c r="S273" s="12">
        <v>4.4999999999999997E-3</v>
      </c>
      <c r="T273" s="12">
        <f>Q273/'סכום נכסי הקרן'!$C$42</f>
        <v>9.5934530286925562E-4</v>
      </c>
    </row>
    <row r="274" spans="2:20">
      <c r="B274" s="10" t="s">
        <v>501</v>
      </c>
      <c r="C274" s="43">
        <v>1134840</v>
      </c>
      <c r="D274" s="10" t="s">
        <v>138</v>
      </c>
      <c r="E274" s="10"/>
      <c r="F274" s="10">
        <v>1636</v>
      </c>
      <c r="G274" s="10" t="s">
        <v>356</v>
      </c>
      <c r="H274" s="10" t="s">
        <v>201</v>
      </c>
      <c r="I274" s="10" t="s">
        <v>240</v>
      </c>
      <c r="J274" s="10"/>
      <c r="K274" s="43">
        <v>2.0499999999999998</v>
      </c>
      <c r="L274" s="10" t="s">
        <v>96</v>
      </c>
      <c r="M274" s="44">
        <v>4.2999999999999997E-2</v>
      </c>
      <c r="N274" s="12">
        <v>3.8800000000000001E-2</v>
      </c>
      <c r="O274" s="11">
        <v>1489498.18</v>
      </c>
      <c r="P274" s="11">
        <v>101.31</v>
      </c>
      <c r="Q274" s="11">
        <v>1509.01</v>
      </c>
      <c r="R274" s="12">
        <v>2.3E-3</v>
      </c>
      <c r="S274" s="12">
        <v>2E-3</v>
      </c>
      <c r="T274" s="12">
        <f>Q274/'סכום נכסי הקרן'!$C$42</f>
        <v>4.1496804041802764E-4</v>
      </c>
    </row>
    <row r="275" spans="2:20">
      <c r="B275" s="10" t="s">
        <v>502</v>
      </c>
      <c r="C275" s="43">
        <v>2590362</v>
      </c>
      <c r="D275" s="10" t="s">
        <v>138</v>
      </c>
      <c r="E275" s="10"/>
      <c r="F275" s="10">
        <v>259</v>
      </c>
      <c r="G275" s="10" t="s">
        <v>273</v>
      </c>
      <c r="H275" s="10" t="s">
        <v>201</v>
      </c>
      <c r="I275" s="10" t="s">
        <v>95</v>
      </c>
      <c r="J275" s="10"/>
      <c r="K275" s="43">
        <v>2.63</v>
      </c>
      <c r="L275" s="10" t="s">
        <v>96</v>
      </c>
      <c r="M275" s="44">
        <v>0.06</v>
      </c>
      <c r="N275" s="12">
        <v>3.6700000000000003E-2</v>
      </c>
      <c r="O275" s="11">
        <v>4765774.0999999996</v>
      </c>
      <c r="P275" s="11">
        <v>109.32</v>
      </c>
      <c r="Q275" s="11">
        <f>5209.9-278.504</f>
        <v>4931.3959999999997</v>
      </c>
      <c r="R275" s="12">
        <v>7.7000000000000002E-3</v>
      </c>
      <c r="S275" s="12">
        <v>6.7999999999999996E-3</v>
      </c>
      <c r="T275" s="12">
        <f>Q275/'סכום נכסי הקרן'!$C$42</f>
        <v>1.356102169399341E-3</v>
      </c>
    </row>
    <row r="276" spans="2:20">
      <c r="B276" s="10" t="s">
        <v>503</v>
      </c>
      <c r="C276" s="43">
        <v>5260088</v>
      </c>
      <c r="D276" s="10" t="s">
        <v>138</v>
      </c>
      <c r="E276" s="10"/>
      <c r="F276" s="10">
        <v>526</v>
      </c>
      <c r="G276" s="10" t="s">
        <v>239</v>
      </c>
      <c r="H276" s="10" t="s">
        <v>201</v>
      </c>
      <c r="I276" s="10" t="s">
        <v>240</v>
      </c>
      <c r="J276" s="10"/>
      <c r="K276" s="43">
        <v>3.39</v>
      </c>
      <c r="L276" s="10" t="s">
        <v>96</v>
      </c>
      <c r="M276" s="44">
        <v>5.5500000000000001E-2</v>
      </c>
      <c r="N276" s="12">
        <v>3.7900000000000003E-2</v>
      </c>
      <c r="O276" s="11">
        <v>1634840.1</v>
      </c>
      <c r="P276" s="11">
        <v>107.5</v>
      </c>
      <c r="Q276" s="11">
        <v>1757.45</v>
      </c>
      <c r="R276" s="12">
        <v>1.78E-2</v>
      </c>
      <c r="S276" s="12">
        <v>2.3E-3</v>
      </c>
      <c r="T276" s="12">
        <f>Q276/'סכום נכסי הקרן'!$C$42</f>
        <v>4.8328744185436987E-4</v>
      </c>
    </row>
    <row r="277" spans="2:20">
      <c r="B277" s="10" t="s">
        <v>504</v>
      </c>
      <c r="C277" s="43">
        <v>5310107</v>
      </c>
      <c r="D277" s="10" t="s">
        <v>138</v>
      </c>
      <c r="E277" s="10"/>
      <c r="F277" s="10">
        <v>531</v>
      </c>
      <c r="G277" s="10" t="s">
        <v>239</v>
      </c>
      <c r="H277" s="10" t="s">
        <v>383</v>
      </c>
      <c r="I277" s="10" t="s">
        <v>240</v>
      </c>
      <c r="J277" s="10"/>
      <c r="K277" s="43">
        <v>0.5</v>
      </c>
      <c r="L277" s="10" t="s">
        <v>96</v>
      </c>
      <c r="M277" s="44">
        <v>7.7499999999999999E-2</v>
      </c>
      <c r="N277" s="12">
        <v>3.6700000000000003E-2</v>
      </c>
      <c r="O277" s="11">
        <v>564708.81000000006</v>
      </c>
      <c r="P277" s="11">
        <v>105.24</v>
      </c>
      <c r="Q277" s="11">
        <v>594.29999999999995</v>
      </c>
      <c r="R277" s="12">
        <v>2.2800000000000001E-2</v>
      </c>
      <c r="S277" s="12">
        <v>8.0000000000000004E-4</v>
      </c>
      <c r="T277" s="12">
        <f>Q277/'סכום נכסי הקרן'!$C$42</f>
        <v>1.6342867603291814E-4</v>
      </c>
    </row>
    <row r="278" spans="2:20">
      <c r="B278" s="10" t="s">
        <v>505</v>
      </c>
      <c r="C278" s="43">
        <v>6390249</v>
      </c>
      <c r="D278" s="10" t="s">
        <v>138</v>
      </c>
      <c r="E278" s="10"/>
      <c r="F278" s="10">
        <v>639</v>
      </c>
      <c r="G278" s="10" t="s">
        <v>307</v>
      </c>
      <c r="H278" s="10" t="s">
        <v>383</v>
      </c>
      <c r="I278" s="10" t="s">
        <v>95</v>
      </c>
      <c r="J278" s="10"/>
      <c r="K278" s="43">
        <v>1.03</v>
      </c>
      <c r="L278" s="10" t="s">
        <v>96</v>
      </c>
      <c r="M278" s="44">
        <v>6.7000000000000004E-2</v>
      </c>
      <c r="N278" s="12">
        <v>1.52E-2</v>
      </c>
      <c r="O278" s="11">
        <v>2180524.36</v>
      </c>
      <c r="P278" s="11">
        <v>105.06</v>
      </c>
      <c r="Q278" s="11">
        <f>2290.86-595.87</f>
        <v>1694.9900000000002</v>
      </c>
      <c r="R278" s="12">
        <v>9.7999999999999997E-3</v>
      </c>
      <c r="S278" s="12">
        <v>3.0000000000000001E-3</v>
      </c>
      <c r="T278" s="12">
        <f>Q278/'סכום נכסי הקרן'!$C$42</f>
        <v>4.6611134374732624E-4</v>
      </c>
    </row>
    <row r="279" spans="2:20">
      <c r="B279" s="10" t="s">
        <v>506</v>
      </c>
      <c r="C279" s="43">
        <v>7980162</v>
      </c>
      <c r="D279" s="10" t="s">
        <v>138</v>
      </c>
      <c r="E279" s="10"/>
      <c r="F279" s="10">
        <v>798</v>
      </c>
      <c r="G279" s="10" t="s">
        <v>307</v>
      </c>
      <c r="H279" s="10" t="s">
        <v>389</v>
      </c>
      <c r="I279" s="10" t="s">
        <v>95</v>
      </c>
      <c r="J279" s="10"/>
      <c r="K279" s="43">
        <v>1.41</v>
      </c>
      <c r="L279" s="10" t="s">
        <v>96</v>
      </c>
      <c r="M279" s="44">
        <v>6.6000000000000003E-2</v>
      </c>
      <c r="N279" s="12">
        <v>9.1899999999999996E-2</v>
      </c>
      <c r="O279" s="11">
        <v>1422146.64</v>
      </c>
      <c r="P279" s="11">
        <v>96.99</v>
      </c>
      <c r="Q279" s="11">
        <v>1379.34</v>
      </c>
      <c r="R279" s="12">
        <v>6.7999999999999996E-3</v>
      </c>
      <c r="S279" s="12">
        <v>1.8E-3</v>
      </c>
      <c r="T279" s="12">
        <f>Q279/'סכום נכסי הקרן'!$C$42</f>
        <v>3.7930962476736548E-4</v>
      </c>
    </row>
    <row r="280" spans="2:20">
      <c r="B280" s="10" t="s">
        <v>507</v>
      </c>
      <c r="C280" s="43">
        <v>1127265</v>
      </c>
      <c r="D280" s="10" t="s">
        <v>138</v>
      </c>
      <c r="E280" s="10"/>
      <c r="F280" s="10">
        <v>1603</v>
      </c>
      <c r="G280" s="10" t="s">
        <v>239</v>
      </c>
      <c r="H280" s="10"/>
      <c r="I280" s="10"/>
      <c r="J280" s="10"/>
      <c r="K280" s="43">
        <v>1.88</v>
      </c>
      <c r="L280" s="10" t="s">
        <v>96</v>
      </c>
      <c r="M280" s="44">
        <v>0.06</v>
      </c>
      <c r="N280" s="12">
        <v>2.5700000000000001E-2</v>
      </c>
      <c r="O280" s="11">
        <v>2904276.39</v>
      </c>
      <c r="P280" s="11">
        <v>106.75</v>
      </c>
      <c r="Q280" s="11">
        <v>3100.32</v>
      </c>
      <c r="R280" s="12">
        <v>1.03E-2</v>
      </c>
      <c r="S280" s="12">
        <v>4.0000000000000001E-3</v>
      </c>
      <c r="T280" s="12">
        <f>Q280/'סכום נכסי הקרן'!$C$42</f>
        <v>8.5256805128449743E-4</v>
      </c>
    </row>
    <row r="281" spans="2:20">
      <c r="B281" s="10" t="s">
        <v>508</v>
      </c>
      <c r="C281" s="43">
        <v>1133453</v>
      </c>
      <c r="D281" s="10" t="s">
        <v>138</v>
      </c>
      <c r="E281" s="10"/>
      <c r="F281" s="10">
        <v>2170</v>
      </c>
      <c r="G281" s="10" t="s">
        <v>403</v>
      </c>
      <c r="H281" s="10"/>
      <c r="I281" s="10"/>
      <c r="J281" s="10"/>
      <c r="K281" s="43">
        <v>4.22</v>
      </c>
      <c r="L281" s="10" t="s">
        <v>96</v>
      </c>
      <c r="M281" s="44">
        <v>5.8000000000000003E-2</v>
      </c>
      <c r="N281" s="12">
        <v>2.9399999999999999E-2</v>
      </c>
      <c r="O281" s="11">
        <v>275088.8</v>
      </c>
      <c r="P281" s="11">
        <v>114.6</v>
      </c>
      <c r="Q281" s="11">
        <v>315.25</v>
      </c>
      <c r="R281" s="12">
        <v>8.6E-3</v>
      </c>
      <c r="S281" s="12">
        <v>4.0000000000000002E-4</v>
      </c>
      <c r="T281" s="12">
        <f>Q281/'סכום נכסי הקרן'!$C$42</f>
        <v>8.6691721553722778E-5</v>
      </c>
    </row>
    <row r="282" spans="2:20">
      <c r="B282" s="10" t="s">
        <v>509</v>
      </c>
      <c r="C282" s="43">
        <v>1133552</v>
      </c>
      <c r="D282" s="10" t="s">
        <v>138</v>
      </c>
      <c r="E282" s="10"/>
      <c r="F282" s="10">
        <v>1625</v>
      </c>
      <c r="G282" s="10" t="s">
        <v>401</v>
      </c>
      <c r="H282" s="10"/>
      <c r="I282" s="10"/>
      <c r="J282" s="10"/>
      <c r="K282" s="43">
        <v>2.7</v>
      </c>
      <c r="L282" s="10" t="s">
        <v>96</v>
      </c>
      <c r="M282" s="44">
        <v>2.8384E-2</v>
      </c>
      <c r="N282" s="12">
        <v>4.9200000000000001E-2</v>
      </c>
      <c r="O282" s="11">
        <v>2054000</v>
      </c>
      <c r="P282" s="11">
        <v>115.57</v>
      </c>
      <c r="Q282" s="11">
        <v>2373.81</v>
      </c>
      <c r="R282" s="12">
        <v>6.1000000000000004E-3</v>
      </c>
      <c r="S282" s="12">
        <v>3.0999999999999999E-3</v>
      </c>
      <c r="T282" s="12">
        <f>Q282/'סכום נכסי הקרן'!$C$42</f>
        <v>6.5278247594430662E-4</v>
      </c>
    </row>
    <row r="283" spans="2:20">
      <c r="B283" s="10"/>
      <c r="C283" s="43"/>
      <c r="D283" s="10"/>
      <c r="E283" s="10"/>
      <c r="F283" s="10"/>
      <c r="G283" s="10"/>
      <c r="H283" s="10"/>
      <c r="I283" s="10"/>
      <c r="J283" s="10"/>
      <c r="K283" s="43"/>
      <c r="L283" s="10"/>
      <c r="M283" s="44"/>
      <c r="N283" s="12"/>
      <c r="O283" s="11"/>
      <c r="P283" s="11"/>
      <c r="Q283" s="11"/>
      <c r="R283" s="12"/>
      <c r="S283" s="12"/>
      <c r="T283" s="12"/>
    </row>
    <row r="284" spans="2:20">
      <c r="B284" s="39" t="s">
        <v>510</v>
      </c>
      <c r="C284" s="40"/>
      <c r="D284" s="39"/>
      <c r="E284" s="39"/>
      <c r="F284" s="39"/>
      <c r="G284" s="39"/>
      <c r="H284" s="39"/>
      <c r="I284" s="39"/>
      <c r="J284" s="39"/>
      <c r="K284" s="40"/>
      <c r="L284" s="39"/>
      <c r="M284" s="7"/>
      <c r="N284" s="41"/>
      <c r="O284" s="42">
        <f>SUM(O285:O288)</f>
        <v>534660.32999999996</v>
      </c>
      <c r="P284" s="42"/>
      <c r="Q284" s="42">
        <f t="shared" ref="Q284" si="1">SUM(Q285:Q288)</f>
        <v>427.25</v>
      </c>
      <c r="R284" s="42"/>
      <c r="S284" s="41">
        <f t="shared" ref="S284" si="2">SUM(S285:S288)</f>
        <v>5.0000000000000001E-4</v>
      </c>
      <c r="T284" s="41">
        <f t="shared" ref="T284" si="3">SUM(T285:T288)</f>
        <v>1.174910009003269E-4</v>
      </c>
    </row>
    <row r="285" spans="2:20">
      <c r="B285" s="10" t="s">
        <v>511</v>
      </c>
      <c r="C285" s="43">
        <v>1260165</v>
      </c>
      <c r="D285" s="10" t="s">
        <v>138</v>
      </c>
      <c r="E285" s="10"/>
      <c r="F285" s="10">
        <v>126</v>
      </c>
      <c r="G285" s="10" t="s">
        <v>239</v>
      </c>
      <c r="H285" s="10" t="s">
        <v>98</v>
      </c>
      <c r="I285" s="10" t="s">
        <v>95</v>
      </c>
      <c r="J285" s="10"/>
      <c r="K285" s="43">
        <v>0.5</v>
      </c>
      <c r="L285" s="10" t="s">
        <v>96</v>
      </c>
      <c r="M285" s="44">
        <v>6.5000000000000002E-2</v>
      </c>
      <c r="N285" s="12">
        <v>2.1899999999999999E-2</v>
      </c>
      <c r="O285" s="11">
        <v>45871.38</v>
      </c>
      <c r="P285" s="11">
        <v>83.67</v>
      </c>
      <c r="Q285" s="11">
        <v>38.380000000000003</v>
      </c>
      <c r="R285" s="12">
        <v>1E-3</v>
      </c>
      <c r="S285" s="12">
        <v>0</v>
      </c>
      <c r="T285" s="12">
        <f>Q285/'סכום נכסי הקרן'!$C$42</f>
        <v>1.0554253047523808E-5</v>
      </c>
    </row>
    <row r="286" spans="2:20">
      <c r="B286" s="10" t="s">
        <v>512</v>
      </c>
      <c r="C286" s="43">
        <v>1260272</v>
      </c>
      <c r="D286" s="10" t="s">
        <v>138</v>
      </c>
      <c r="E286" s="10"/>
      <c r="F286" s="10">
        <v>126</v>
      </c>
      <c r="G286" s="10" t="s">
        <v>239</v>
      </c>
      <c r="H286" s="10" t="s">
        <v>98</v>
      </c>
      <c r="I286" s="10" t="s">
        <v>95</v>
      </c>
      <c r="J286" s="10"/>
      <c r="K286" s="7"/>
      <c r="L286" s="10" t="s">
        <v>96</v>
      </c>
      <c r="M286" s="44">
        <v>1.8239999999999999E-2</v>
      </c>
      <c r="N286" s="12"/>
      <c r="O286" s="11">
        <v>395974.74</v>
      </c>
      <c r="P286" s="11">
        <v>73.260000000000005</v>
      </c>
      <c r="Q286" s="11">
        <v>290.08999999999997</v>
      </c>
      <c r="R286" s="12">
        <v>7.1999999999999998E-3</v>
      </c>
      <c r="S286" s="12">
        <v>4.0000000000000002E-4</v>
      </c>
      <c r="T286" s="12">
        <f>Q286/'סכום נכסי הקרן'!$C$42</f>
        <v>7.9772883443360629E-5</v>
      </c>
    </row>
    <row r="287" spans="2:20">
      <c r="B287" s="10" t="s">
        <v>513</v>
      </c>
      <c r="C287" s="43">
        <v>1109636</v>
      </c>
      <c r="D287" s="10" t="s">
        <v>138</v>
      </c>
      <c r="E287" s="10"/>
      <c r="F287" s="10">
        <v>1513</v>
      </c>
      <c r="G287" s="10" t="s">
        <v>239</v>
      </c>
      <c r="H287" s="10" t="s">
        <v>360</v>
      </c>
      <c r="I287" s="10" t="s">
        <v>95</v>
      </c>
      <c r="J287" s="10"/>
      <c r="K287" s="7"/>
      <c r="L287" s="10" t="s">
        <v>96</v>
      </c>
      <c r="M287" s="44">
        <v>7.2999999999999995E-2</v>
      </c>
      <c r="N287" s="7"/>
      <c r="O287" s="11">
        <v>0.36</v>
      </c>
      <c r="P287" s="11">
        <v>113</v>
      </c>
      <c r="Q287" s="11">
        <v>0</v>
      </c>
      <c r="R287" s="12">
        <v>0</v>
      </c>
      <c r="S287" s="12">
        <v>0</v>
      </c>
      <c r="T287" s="12">
        <f>Q287/'סכום נכסי הקרן'!$C$42</f>
        <v>0</v>
      </c>
    </row>
    <row r="288" spans="2:20">
      <c r="B288" s="10" t="s">
        <v>514</v>
      </c>
      <c r="C288" s="43">
        <v>2590396</v>
      </c>
      <c r="D288" s="10" t="s">
        <v>138</v>
      </c>
      <c r="E288" s="10"/>
      <c r="F288" s="10">
        <v>259</v>
      </c>
      <c r="G288" s="10" t="s">
        <v>273</v>
      </c>
      <c r="H288" s="10" t="s">
        <v>201</v>
      </c>
      <c r="I288" s="10" t="s">
        <v>95</v>
      </c>
      <c r="J288" s="10"/>
      <c r="K288" s="43">
        <v>4.5999999999999996</v>
      </c>
      <c r="L288" s="10" t="s">
        <v>96</v>
      </c>
      <c r="M288" s="44">
        <v>6.7000000000000004E-2</v>
      </c>
      <c r="N288" s="12">
        <v>5.1799999999999999E-2</v>
      </c>
      <c r="O288" s="11">
        <v>92813.85</v>
      </c>
      <c r="P288" s="11">
        <v>106.43</v>
      </c>
      <c r="Q288" s="11">
        <v>98.78</v>
      </c>
      <c r="R288" s="12">
        <v>1E-4</v>
      </c>
      <c r="S288" s="12">
        <v>1E-4</v>
      </c>
      <c r="T288" s="12">
        <f>Q288/'סכום נכסי הקרן'!$C$42</f>
        <v>2.7163864409442463E-5</v>
      </c>
    </row>
    <row r="289" spans="2:20">
      <c r="B289" s="10"/>
      <c r="C289" s="43"/>
      <c r="D289" s="10"/>
      <c r="E289" s="10"/>
      <c r="F289" s="10"/>
      <c r="G289" s="10"/>
      <c r="H289" s="10"/>
      <c r="I289" s="10"/>
      <c r="J289" s="10"/>
      <c r="K289" s="43"/>
      <c r="L289" s="10"/>
      <c r="M289" s="44"/>
      <c r="N289" s="12"/>
      <c r="O289" s="11"/>
      <c r="P289" s="11"/>
      <c r="Q289" s="11"/>
      <c r="R289" s="12"/>
      <c r="S289" s="12"/>
      <c r="T289" s="12"/>
    </row>
    <row r="290" spans="2:20">
      <c r="B290" s="39" t="s">
        <v>515</v>
      </c>
      <c r="C290" s="40"/>
      <c r="D290" s="39"/>
      <c r="E290" s="39"/>
      <c r="F290" s="39"/>
      <c r="G290" s="39"/>
      <c r="H290" s="39"/>
      <c r="I290" s="39"/>
      <c r="J290" s="39"/>
      <c r="K290" s="7"/>
      <c r="L290" s="39"/>
      <c r="M290" s="7"/>
      <c r="N290" s="7"/>
      <c r="O290" s="42">
        <v>0</v>
      </c>
      <c r="P290" s="7"/>
      <c r="Q290" s="42">
        <v>0</v>
      </c>
      <c r="R290" s="7"/>
      <c r="S290" s="41">
        <v>0</v>
      </c>
      <c r="T290" s="41">
        <v>0</v>
      </c>
    </row>
    <row r="291" spans="2:20">
      <c r="B291" s="39"/>
      <c r="C291" s="40"/>
      <c r="D291" s="39"/>
      <c r="E291" s="39"/>
      <c r="F291" s="39"/>
      <c r="G291" s="39"/>
      <c r="H291" s="39"/>
      <c r="I291" s="39"/>
      <c r="J291" s="39"/>
      <c r="K291" s="7"/>
      <c r="L291" s="39"/>
      <c r="M291" s="7"/>
      <c r="N291" s="7"/>
      <c r="O291" s="42"/>
      <c r="P291" s="7"/>
      <c r="Q291" s="42"/>
      <c r="R291" s="7"/>
      <c r="S291" s="41"/>
      <c r="T291" s="41"/>
    </row>
    <row r="292" spans="2:20">
      <c r="B292" s="8" t="s">
        <v>516</v>
      </c>
      <c r="C292" s="38"/>
      <c r="D292" s="8"/>
      <c r="E292" s="8"/>
      <c r="F292" s="8"/>
      <c r="G292" s="8"/>
      <c r="H292" s="8"/>
      <c r="I292" s="8"/>
      <c r="J292" s="8"/>
      <c r="K292" s="38"/>
      <c r="L292" s="8"/>
      <c r="M292" s="7"/>
      <c r="N292" s="14"/>
      <c r="O292" s="13">
        <f>O294+O302</f>
        <v>279655500</v>
      </c>
      <c r="P292" s="13"/>
      <c r="Q292" s="13">
        <f t="shared" ref="Q292" si="4">Q294+Q302</f>
        <v>162346.96999999994</v>
      </c>
      <c r="R292" s="7"/>
      <c r="S292" s="14">
        <f>S294+S302</f>
        <v>0.21530000000000005</v>
      </c>
      <c r="T292" s="14">
        <f>T294+T302</f>
        <v>4.3234869106393223E-2</v>
      </c>
    </row>
    <row r="293" spans="2:20">
      <c r="B293" s="8"/>
      <c r="C293" s="38"/>
      <c r="D293" s="8"/>
      <c r="E293" s="8"/>
      <c r="F293" s="8"/>
      <c r="G293" s="8"/>
      <c r="H293" s="8"/>
      <c r="I293" s="8"/>
      <c r="J293" s="8"/>
      <c r="K293" s="38"/>
      <c r="L293" s="8"/>
      <c r="M293" s="7"/>
      <c r="N293" s="14"/>
      <c r="O293" s="13"/>
      <c r="P293" s="7"/>
      <c r="Q293" s="13"/>
      <c r="R293" s="7"/>
      <c r="S293" s="14"/>
      <c r="T293" s="14"/>
    </row>
    <row r="294" spans="2:20">
      <c r="B294" s="39" t="s">
        <v>517</v>
      </c>
      <c r="C294" s="40"/>
      <c r="D294" s="39"/>
      <c r="E294" s="39"/>
      <c r="F294" s="39"/>
      <c r="G294" s="39"/>
      <c r="H294" s="39"/>
      <c r="I294" s="39"/>
      <c r="J294" s="39"/>
      <c r="K294" s="40"/>
      <c r="L294" s="39"/>
      <c r="M294" s="7"/>
      <c r="N294" s="41"/>
      <c r="O294" s="42">
        <f>SUM(O295:O300)</f>
        <v>7358500</v>
      </c>
      <c r="P294" s="42">
        <f t="shared" ref="P294:T294" si="5">SUM(P295:P300)</f>
        <v>521.56999999999994</v>
      </c>
      <c r="Q294" s="42">
        <f t="shared" si="5"/>
        <v>27763.809999999998</v>
      </c>
      <c r="R294" s="42"/>
      <c r="S294" s="50">
        <f t="shared" si="5"/>
        <v>3.8199999999999998E-2</v>
      </c>
      <c r="T294" s="50">
        <f t="shared" si="5"/>
        <v>7.6348691063932248E-3</v>
      </c>
    </row>
    <row r="295" spans="2:20">
      <c r="B295" s="10" t="s">
        <v>518</v>
      </c>
      <c r="C295" s="43" t="s">
        <v>519</v>
      </c>
      <c r="D295" s="10" t="s">
        <v>520</v>
      </c>
      <c r="E295" s="10" t="s">
        <v>521</v>
      </c>
      <c r="F295" s="10"/>
      <c r="G295" s="10" t="s">
        <v>522</v>
      </c>
      <c r="H295" s="10" t="s">
        <v>383</v>
      </c>
      <c r="I295" s="10" t="s">
        <v>118</v>
      </c>
      <c r="J295" s="10"/>
      <c r="K295" s="43">
        <v>3.64</v>
      </c>
      <c r="L295" s="10" t="s">
        <v>43</v>
      </c>
      <c r="M295" s="44">
        <v>4.4350000000000001E-2</v>
      </c>
      <c r="N295" s="12">
        <v>3.8300000000000001E-2</v>
      </c>
      <c r="O295" s="11">
        <v>2548000</v>
      </c>
      <c r="P295" s="11">
        <v>104.57</v>
      </c>
      <c r="Q295" s="11">
        <f>10242.07-500</f>
        <v>9742.07</v>
      </c>
      <c r="R295" s="12">
        <v>6.4000000000000003E-3</v>
      </c>
      <c r="S295" s="12">
        <v>1.3299999999999999E-2</v>
      </c>
      <c r="T295" s="12">
        <f>Q295/'סכום נכסי הקרן'!$C$42</f>
        <v>2.6790065655729611E-3</v>
      </c>
    </row>
    <row r="296" spans="2:20">
      <c r="B296" s="10" t="s">
        <v>523</v>
      </c>
      <c r="C296" s="43" t="s">
        <v>524</v>
      </c>
      <c r="D296" s="10" t="s">
        <v>520</v>
      </c>
      <c r="E296" s="10" t="s">
        <v>521</v>
      </c>
      <c r="F296" s="10"/>
      <c r="G296" s="10" t="s">
        <v>522</v>
      </c>
      <c r="H296" s="10" t="s">
        <v>383</v>
      </c>
      <c r="I296" s="10" t="s">
        <v>118</v>
      </c>
      <c r="J296" s="10"/>
      <c r="K296" s="43">
        <v>5.85</v>
      </c>
      <c r="L296" s="10" t="s">
        <v>43</v>
      </c>
      <c r="M296" s="44">
        <v>5.0819999999999997E-2</v>
      </c>
      <c r="N296" s="12">
        <v>4.7300000000000002E-2</v>
      </c>
      <c r="O296" s="11">
        <v>2117000</v>
      </c>
      <c r="P296" s="11">
        <v>104.91</v>
      </c>
      <c r="Q296" s="11">
        <f>8537.39-300</f>
        <v>8237.39</v>
      </c>
      <c r="R296" s="12">
        <v>5.3E-3</v>
      </c>
      <c r="S296" s="12">
        <v>1.11E-2</v>
      </c>
      <c r="T296" s="12">
        <f>Q296/'סכום נכסי הקרן'!$C$42</f>
        <v>2.2652292472939584E-3</v>
      </c>
    </row>
    <row r="297" spans="2:20">
      <c r="B297" s="10" t="s">
        <v>525</v>
      </c>
      <c r="C297" s="43" t="s">
        <v>526</v>
      </c>
      <c r="D297" s="10" t="s">
        <v>184</v>
      </c>
      <c r="E297" s="10" t="s">
        <v>521</v>
      </c>
      <c r="F297" s="10">
        <v>281</v>
      </c>
      <c r="G297" s="10" t="s">
        <v>527</v>
      </c>
      <c r="H297" s="10" t="s">
        <v>383</v>
      </c>
      <c r="I297" s="10" t="s">
        <v>118</v>
      </c>
      <c r="J297" s="10"/>
      <c r="K297" s="43">
        <v>6.72</v>
      </c>
      <c r="L297" s="10" t="s">
        <v>43</v>
      </c>
      <c r="M297" s="44">
        <v>4.4999999999999998E-2</v>
      </c>
      <c r="N297" s="12">
        <v>4.7800000000000002E-2</v>
      </c>
      <c r="O297" s="11">
        <v>862500</v>
      </c>
      <c r="P297" s="11">
        <v>98.86</v>
      </c>
      <c r="Q297" s="11">
        <f>3277.55-200</f>
        <v>3077.55</v>
      </c>
      <c r="R297" s="12">
        <v>1.1000000000000001E-3</v>
      </c>
      <c r="S297" s="12">
        <v>4.3E-3</v>
      </c>
      <c r="T297" s="12">
        <f>Q297/'סכום נכסי הקרן'!$C$42</f>
        <v>8.4630644779590659E-4</v>
      </c>
    </row>
    <row r="298" spans="2:20">
      <c r="B298" s="10" t="s">
        <v>528</v>
      </c>
      <c r="C298" s="43" t="s">
        <v>529</v>
      </c>
      <c r="D298" s="10" t="s">
        <v>184</v>
      </c>
      <c r="E298" s="10" t="s">
        <v>521</v>
      </c>
      <c r="F298" s="10"/>
      <c r="G298" s="10" t="s">
        <v>530</v>
      </c>
      <c r="H298" s="10" t="s">
        <v>383</v>
      </c>
      <c r="I298" s="10" t="s">
        <v>118</v>
      </c>
      <c r="J298" s="10"/>
      <c r="K298" s="43">
        <v>1.89</v>
      </c>
      <c r="L298" s="10" t="s">
        <v>43</v>
      </c>
      <c r="M298" s="44">
        <v>7.2499999999999995E-2</v>
      </c>
      <c r="N298" s="12">
        <v>2.98E-2</v>
      </c>
      <c r="O298" s="11">
        <v>1531000</v>
      </c>
      <c r="P298" s="11">
        <v>111.75</v>
      </c>
      <c r="Q298" s="11">
        <f>6576.61-650</f>
        <v>5926.61</v>
      </c>
      <c r="R298" s="12">
        <v>1.5E-3</v>
      </c>
      <c r="S298" s="12">
        <v>8.5000000000000006E-3</v>
      </c>
      <c r="T298" s="12">
        <f>Q298/'סכום נכסי הקרן'!$C$42</f>
        <v>1.6297796157890847E-3</v>
      </c>
    </row>
    <row r="299" spans="2:20">
      <c r="B299" s="10" t="s">
        <v>531</v>
      </c>
      <c r="C299" s="43" t="s">
        <v>532</v>
      </c>
      <c r="D299" s="10" t="s">
        <v>184</v>
      </c>
      <c r="E299" s="10" t="s">
        <v>521</v>
      </c>
      <c r="F299" s="10"/>
      <c r="G299" s="10" t="s">
        <v>530</v>
      </c>
      <c r="H299" s="10" t="s">
        <v>383</v>
      </c>
      <c r="I299" s="10" t="s">
        <v>118</v>
      </c>
      <c r="J299" s="10"/>
      <c r="K299" s="43">
        <v>1.03</v>
      </c>
      <c r="L299" s="10" t="s">
        <v>43</v>
      </c>
      <c r="M299" s="44">
        <v>2.5569000000000001E-2</v>
      </c>
      <c r="N299" s="12">
        <v>2.6100000000000002E-2</v>
      </c>
      <c r="O299" s="11">
        <v>200000</v>
      </c>
      <c r="P299" s="11">
        <v>101.48</v>
      </c>
      <c r="Q299" s="11">
        <v>780.19</v>
      </c>
      <c r="R299" s="12">
        <v>8.0000000000000004E-4</v>
      </c>
      <c r="S299" s="12">
        <v>1E-3</v>
      </c>
      <c r="T299" s="12">
        <f>Q299/'סכום נכסי הקרן'!$C$42</f>
        <v>2.1454722994131319E-4</v>
      </c>
    </row>
    <row r="300" spans="2:20">
      <c r="B300" s="10" t="s">
        <v>533</v>
      </c>
      <c r="C300" s="43" t="s">
        <v>534</v>
      </c>
      <c r="D300" s="10" t="s">
        <v>184</v>
      </c>
      <c r="E300" s="10" t="s">
        <v>521</v>
      </c>
      <c r="F300" s="10"/>
      <c r="G300" s="10" t="s">
        <v>184</v>
      </c>
      <c r="H300" s="10" t="s">
        <v>535</v>
      </c>
      <c r="I300" s="10" t="s">
        <v>118</v>
      </c>
      <c r="J300" s="10"/>
      <c r="K300" s="7"/>
      <c r="L300" s="10" t="s">
        <v>43</v>
      </c>
      <c r="M300" s="44">
        <v>6.7000000000000004E-2</v>
      </c>
      <c r="N300" s="12">
        <v>6.7000000000000004E-2</v>
      </c>
      <c r="O300" s="11">
        <v>100000</v>
      </c>
      <c r="P300" s="11">
        <v>0</v>
      </c>
      <c r="Q300" s="11">
        <v>0</v>
      </c>
      <c r="R300" s="12">
        <v>5.4999999999999997E-3</v>
      </c>
      <c r="S300" s="12">
        <v>0</v>
      </c>
      <c r="T300" s="12">
        <f>Q300/'סכום נכסי הקרן'!$C$42</f>
        <v>0</v>
      </c>
    </row>
    <row r="301" spans="2:20">
      <c r="B301" s="10"/>
      <c r="C301" s="43"/>
      <c r="D301" s="10"/>
      <c r="E301" s="10"/>
      <c r="F301" s="10"/>
      <c r="G301" s="10"/>
      <c r="H301" s="10"/>
      <c r="I301" s="10"/>
      <c r="J301" s="10"/>
      <c r="K301" s="7"/>
      <c r="L301" s="10"/>
      <c r="M301" s="44"/>
      <c r="N301" s="12"/>
      <c r="O301" s="11"/>
      <c r="P301" s="11"/>
      <c r="Q301" s="11"/>
      <c r="R301" s="12"/>
      <c r="S301" s="50"/>
      <c r="T301" s="50"/>
    </row>
    <row r="302" spans="2:20">
      <c r="B302" s="39" t="s">
        <v>536</v>
      </c>
      <c r="C302" s="40"/>
      <c r="D302" s="39"/>
      <c r="E302" s="39"/>
      <c r="F302" s="39"/>
      <c r="G302" s="39"/>
      <c r="H302" s="39"/>
      <c r="I302" s="39"/>
      <c r="J302" s="39"/>
      <c r="K302" s="40"/>
      <c r="L302" s="39"/>
      <c r="M302" s="7"/>
      <c r="N302" s="41"/>
      <c r="O302" s="42">
        <f>SUM(O303:O354)</f>
        <v>272297000</v>
      </c>
      <c r="P302" s="42">
        <f t="shared" ref="P302:T302" si="6">SUM(P303:P354)</f>
        <v>5390.3199999999979</v>
      </c>
      <c r="Q302" s="42">
        <f t="shared" si="6"/>
        <v>134583.15999999995</v>
      </c>
      <c r="R302" s="42"/>
      <c r="S302" s="50">
        <f t="shared" si="6"/>
        <v>0.17710000000000004</v>
      </c>
      <c r="T302" s="50">
        <f t="shared" si="6"/>
        <v>3.56E-2</v>
      </c>
    </row>
    <row r="303" spans="2:20">
      <c r="B303" s="10" t="s">
        <v>537</v>
      </c>
      <c r="C303" s="43" t="s">
        <v>538</v>
      </c>
      <c r="D303" s="10" t="s">
        <v>539</v>
      </c>
      <c r="E303" s="10" t="s">
        <v>521</v>
      </c>
      <c r="F303" s="10"/>
      <c r="G303" s="10" t="s">
        <v>540</v>
      </c>
      <c r="H303" s="10" t="s">
        <v>221</v>
      </c>
      <c r="I303" s="10" t="s">
        <v>118</v>
      </c>
      <c r="J303" s="10"/>
      <c r="K303" s="43">
        <v>0.45</v>
      </c>
      <c r="L303" s="10" t="s">
        <v>60</v>
      </c>
      <c r="M303" s="44">
        <v>0.1</v>
      </c>
      <c r="N303" s="12">
        <v>0.1134</v>
      </c>
      <c r="O303" s="11">
        <v>1000000</v>
      </c>
      <c r="P303" s="11">
        <v>104.78</v>
      </c>
      <c r="Q303" s="11">
        <v>1237.9100000000001</v>
      </c>
      <c r="R303" s="12">
        <v>1.1000000000000001E-3</v>
      </c>
      <c r="S303" s="12">
        <v>1.6000000000000001E-3</v>
      </c>
      <c r="T303" s="12">
        <v>2.9999999999999997E-4</v>
      </c>
    </row>
    <row r="304" spans="2:20">
      <c r="B304" s="10" t="s">
        <v>541</v>
      </c>
      <c r="C304" s="43" t="s">
        <v>542</v>
      </c>
      <c r="D304" s="10" t="s">
        <v>180</v>
      </c>
      <c r="E304" s="10" t="s">
        <v>521</v>
      </c>
      <c r="F304" s="10"/>
      <c r="G304" s="10" t="s">
        <v>184</v>
      </c>
      <c r="H304" s="10" t="s">
        <v>94</v>
      </c>
      <c r="I304" s="10" t="s">
        <v>118</v>
      </c>
      <c r="J304" s="10"/>
      <c r="K304" s="43">
        <v>8.48</v>
      </c>
      <c r="L304" s="10" t="s">
        <v>43</v>
      </c>
      <c r="M304" s="44">
        <v>2.4500000000000001E-2</v>
      </c>
      <c r="N304" s="12">
        <v>3.2599999999999997E-2</v>
      </c>
      <c r="O304" s="11">
        <v>400000</v>
      </c>
      <c r="P304" s="11">
        <v>94.59</v>
      </c>
      <c r="Q304" s="11">
        <v>1454.49</v>
      </c>
      <c r="R304" s="12">
        <v>2.0000000000000001E-4</v>
      </c>
      <c r="S304" s="12">
        <v>1.9E-3</v>
      </c>
      <c r="T304" s="12">
        <v>4.0000000000000002E-4</v>
      </c>
    </row>
    <row r="305" spans="2:20">
      <c r="B305" s="10" t="s">
        <v>543</v>
      </c>
      <c r="C305" s="43" t="s">
        <v>544</v>
      </c>
      <c r="D305" s="10" t="s">
        <v>180</v>
      </c>
      <c r="E305" s="10" t="s">
        <v>521</v>
      </c>
      <c r="F305" s="10"/>
      <c r="G305" s="10" t="s">
        <v>184</v>
      </c>
      <c r="H305" s="10" t="s">
        <v>94</v>
      </c>
      <c r="I305" s="10" t="s">
        <v>118</v>
      </c>
      <c r="J305" s="10"/>
      <c r="K305" s="43">
        <v>4.1100000000000003</v>
      </c>
      <c r="L305" s="10" t="s">
        <v>43</v>
      </c>
      <c r="M305" s="44">
        <v>2.8500000000000001E-2</v>
      </c>
      <c r="N305" s="12">
        <v>2.3300000000000001E-2</v>
      </c>
      <c r="O305" s="11">
        <v>1224000</v>
      </c>
      <c r="P305" s="11">
        <v>102.61</v>
      </c>
      <c r="Q305" s="11">
        <v>4827.83</v>
      </c>
      <c r="R305" s="12">
        <v>4.0000000000000002E-4</v>
      </c>
      <c r="S305" s="12">
        <v>6.3E-3</v>
      </c>
      <c r="T305" s="12">
        <v>1.2999999999999999E-3</v>
      </c>
    </row>
    <row r="306" spans="2:20">
      <c r="B306" s="10" t="s">
        <v>545</v>
      </c>
      <c r="C306" s="43" t="s">
        <v>546</v>
      </c>
      <c r="D306" s="10" t="s">
        <v>180</v>
      </c>
      <c r="E306" s="10" t="s">
        <v>521</v>
      </c>
      <c r="F306" s="10"/>
      <c r="G306" s="10" t="s">
        <v>547</v>
      </c>
      <c r="H306" s="10" t="s">
        <v>94</v>
      </c>
      <c r="I306" s="10" t="s">
        <v>202</v>
      </c>
      <c r="J306" s="10"/>
      <c r="K306" s="43">
        <v>7.26</v>
      </c>
      <c r="L306" s="10" t="s">
        <v>43</v>
      </c>
      <c r="M306" s="44">
        <v>2.7E-2</v>
      </c>
      <c r="N306" s="12">
        <v>3.0099999999999998E-2</v>
      </c>
      <c r="O306" s="11">
        <v>852000</v>
      </c>
      <c r="P306" s="11">
        <v>98.98</v>
      </c>
      <c r="Q306" s="11">
        <v>3241.68</v>
      </c>
      <c r="R306" s="12">
        <v>4.0000000000000002E-4</v>
      </c>
      <c r="S306" s="12">
        <v>4.1999999999999997E-3</v>
      </c>
      <c r="T306" s="12">
        <v>8.0000000000000004E-4</v>
      </c>
    </row>
    <row r="307" spans="2:20">
      <c r="B307" s="10" t="s">
        <v>548</v>
      </c>
      <c r="C307" s="43" t="s">
        <v>549</v>
      </c>
      <c r="D307" s="10" t="s">
        <v>550</v>
      </c>
      <c r="E307" s="10" t="s">
        <v>521</v>
      </c>
      <c r="F307" s="10"/>
      <c r="G307" s="10" t="s">
        <v>184</v>
      </c>
      <c r="H307" s="10" t="s">
        <v>99</v>
      </c>
      <c r="I307" s="10" t="s">
        <v>551</v>
      </c>
      <c r="J307" s="10"/>
      <c r="K307" s="43">
        <v>0.61</v>
      </c>
      <c r="L307" s="10" t="s">
        <v>184</v>
      </c>
      <c r="M307" s="44">
        <v>6.4000000000000001E-2</v>
      </c>
      <c r="N307" s="12">
        <v>6.6500000000000004E-2</v>
      </c>
      <c r="O307" s="11">
        <v>69000000</v>
      </c>
      <c r="P307" s="11">
        <v>102.33</v>
      </c>
      <c r="Q307" s="11">
        <v>3985.57</v>
      </c>
      <c r="R307" s="12">
        <v>3.8300000000000001E-2</v>
      </c>
      <c r="S307" s="12">
        <v>5.1999999999999998E-3</v>
      </c>
      <c r="T307" s="12">
        <v>1E-3</v>
      </c>
    </row>
    <row r="308" spans="2:20">
      <c r="B308" s="10" t="s">
        <v>552</v>
      </c>
      <c r="C308" s="43" t="s">
        <v>553</v>
      </c>
      <c r="D308" s="10" t="s">
        <v>550</v>
      </c>
      <c r="E308" s="10" t="s">
        <v>521</v>
      </c>
      <c r="F308" s="10"/>
      <c r="G308" s="10" t="s">
        <v>184</v>
      </c>
      <c r="H308" s="10" t="s">
        <v>99</v>
      </c>
      <c r="I308" s="10" t="s">
        <v>551</v>
      </c>
      <c r="J308" s="10"/>
      <c r="K308" s="43">
        <v>0.49</v>
      </c>
      <c r="L308" s="10" t="s">
        <v>184</v>
      </c>
      <c r="M308" s="44">
        <v>7.0000000000000007E-2</v>
      </c>
      <c r="N308" s="12">
        <v>6.3200000000000006E-2</v>
      </c>
      <c r="O308" s="11">
        <v>142500000</v>
      </c>
      <c r="P308" s="11">
        <v>103.81</v>
      </c>
      <c r="Q308" s="11">
        <f>8350.2-300</f>
        <v>8050.2000000000007</v>
      </c>
      <c r="R308" s="12">
        <v>7.1199999999999999E-2</v>
      </c>
      <c r="S308" s="12">
        <v>1.0800000000000001E-2</v>
      </c>
      <c r="T308" s="12">
        <v>2.2000000000000001E-3</v>
      </c>
    </row>
    <row r="309" spans="2:20">
      <c r="B309" s="10" t="s">
        <v>554</v>
      </c>
      <c r="C309" s="43" t="s">
        <v>555</v>
      </c>
      <c r="D309" s="10" t="s">
        <v>539</v>
      </c>
      <c r="E309" s="10" t="s">
        <v>521</v>
      </c>
      <c r="F309" s="10"/>
      <c r="G309" s="10" t="s">
        <v>540</v>
      </c>
      <c r="H309" s="10" t="s">
        <v>98</v>
      </c>
      <c r="I309" s="10" t="s">
        <v>202</v>
      </c>
      <c r="J309" s="10"/>
      <c r="K309" s="43">
        <v>3.19</v>
      </c>
      <c r="L309" s="10" t="s">
        <v>53</v>
      </c>
      <c r="M309" s="44">
        <v>4.7500000000000001E-2</v>
      </c>
      <c r="N309" s="12">
        <v>3.2099999999999997E-2</v>
      </c>
      <c r="O309" s="11">
        <v>1870000</v>
      </c>
      <c r="P309" s="11">
        <v>107.55</v>
      </c>
      <c r="Q309" s="11">
        <v>5574.4</v>
      </c>
      <c r="R309" s="12">
        <v>1.8700000000000001E-2</v>
      </c>
      <c r="S309" s="12">
        <v>7.1999999999999998E-3</v>
      </c>
      <c r="T309" s="12">
        <v>1.5E-3</v>
      </c>
    </row>
    <row r="310" spans="2:20">
      <c r="B310" s="10" t="s">
        <v>556</v>
      </c>
      <c r="C310" s="43" t="s">
        <v>557</v>
      </c>
      <c r="D310" s="10" t="s">
        <v>184</v>
      </c>
      <c r="E310" s="10" t="s">
        <v>521</v>
      </c>
      <c r="F310" s="10"/>
      <c r="G310" s="10" t="s">
        <v>558</v>
      </c>
      <c r="H310" s="10" t="s">
        <v>98</v>
      </c>
      <c r="I310" s="10" t="s">
        <v>118</v>
      </c>
      <c r="J310" s="10"/>
      <c r="K310" s="43">
        <v>2</v>
      </c>
      <c r="L310" s="10" t="s">
        <v>43</v>
      </c>
      <c r="M310" s="44">
        <v>5.1249999999999997E-2</v>
      </c>
      <c r="N310" s="12">
        <v>1.7600000000000001E-2</v>
      </c>
      <c r="O310" s="11">
        <v>150000</v>
      </c>
      <c r="P310" s="11">
        <v>108.93</v>
      </c>
      <c r="Q310" s="11">
        <v>628.11</v>
      </c>
      <c r="R310" s="12">
        <v>1E-4</v>
      </c>
      <c r="S310" s="12">
        <v>8.0000000000000004E-4</v>
      </c>
      <c r="T310" s="12">
        <v>2.0000000000000001E-4</v>
      </c>
    </row>
    <row r="311" spans="2:20">
      <c r="B311" s="10" t="s">
        <v>559</v>
      </c>
      <c r="C311" s="43" t="s">
        <v>560</v>
      </c>
      <c r="D311" s="10" t="s">
        <v>184</v>
      </c>
      <c r="E311" s="10" t="s">
        <v>521</v>
      </c>
      <c r="F311" s="10"/>
      <c r="G311" s="10" t="s">
        <v>561</v>
      </c>
      <c r="H311" s="10" t="s">
        <v>181</v>
      </c>
      <c r="I311" s="10" t="s">
        <v>118</v>
      </c>
      <c r="J311" s="10"/>
      <c r="K311" s="43">
        <v>2.82</v>
      </c>
      <c r="L311" s="10" t="s">
        <v>43</v>
      </c>
      <c r="M311" s="44">
        <v>2.5000000000000001E-2</v>
      </c>
      <c r="N311" s="12">
        <v>2.3300000000000001E-2</v>
      </c>
      <c r="O311" s="11">
        <v>200000</v>
      </c>
      <c r="P311" s="11">
        <v>100.72</v>
      </c>
      <c r="Q311" s="11">
        <v>774.36</v>
      </c>
      <c r="R311" s="12">
        <v>1E-4</v>
      </c>
      <c r="S311" s="12">
        <v>1E-3</v>
      </c>
      <c r="T311" s="12">
        <v>2.0000000000000001E-4</v>
      </c>
    </row>
    <row r="312" spans="2:20">
      <c r="B312" s="10" t="s">
        <v>562</v>
      </c>
      <c r="C312" s="43" t="s">
        <v>563</v>
      </c>
      <c r="D312" s="10" t="s">
        <v>564</v>
      </c>
      <c r="E312" s="10" t="s">
        <v>521</v>
      </c>
      <c r="F312" s="10"/>
      <c r="G312" s="10" t="s">
        <v>565</v>
      </c>
      <c r="H312" s="10" t="s">
        <v>181</v>
      </c>
      <c r="I312" s="10" t="s">
        <v>118</v>
      </c>
      <c r="J312" s="10"/>
      <c r="K312" s="43">
        <v>4.01</v>
      </c>
      <c r="L312" s="10" t="s">
        <v>43</v>
      </c>
      <c r="M312" s="44">
        <v>2.4500000000000001E-2</v>
      </c>
      <c r="N312" s="12">
        <v>2.6200000000000001E-2</v>
      </c>
      <c r="O312" s="11">
        <v>940000</v>
      </c>
      <c r="P312" s="11">
        <v>100.04</v>
      </c>
      <c r="Q312" s="11">
        <v>3614.91</v>
      </c>
      <c r="R312" s="12">
        <v>6.9999999999999999E-4</v>
      </c>
      <c r="S312" s="12">
        <v>4.7000000000000002E-3</v>
      </c>
      <c r="T312" s="12">
        <v>8.9999999999999998E-4</v>
      </c>
    </row>
    <row r="313" spans="2:20">
      <c r="B313" s="10" t="s">
        <v>566</v>
      </c>
      <c r="C313" s="43" t="s">
        <v>567</v>
      </c>
      <c r="D313" s="10" t="s">
        <v>184</v>
      </c>
      <c r="E313" s="10" t="s">
        <v>521</v>
      </c>
      <c r="F313" s="10"/>
      <c r="G313" s="10" t="s">
        <v>568</v>
      </c>
      <c r="H313" s="10" t="s">
        <v>181</v>
      </c>
      <c r="I313" s="10" t="s">
        <v>118</v>
      </c>
      <c r="J313" s="10"/>
      <c r="K313" s="43">
        <v>3.22</v>
      </c>
      <c r="L313" s="10" t="s">
        <v>43</v>
      </c>
      <c r="M313" s="44">
        <v>2.6249999999999999E-2</v>
      </c>
      <c r="N313" s="12">
        <v>2.8299999999999999E-2</v>
      </c>
      <c r="O313" s="11">
        <v>874000</v>
      </c>
      <c r="P313" s="11">
        <v>99.8</v>
      </c>
      <c r="Q313" s="11">
        <v>3352.96</v>
      </c>
      <c r="R313" s="12">
        <v>5.9999999999999995E-4</v>
      </c>
      <c r="S313" s="12">
        <v>4.4000000000000003E-3</v>
      </c>
      <c r="T313" s="12">
        <v>8.9999999999999998E-4</v>
      </c>
    </row>
    <row r="314" spans="2:20">
      <c r="B314" s="10" t="s">
        <v>569</v>
      </c>
      <c r="C314" s="43" t="s">
        <v>570</v>
      </c>
      <c r="D314" s="10" t="s">
        <v>184</v>
      </c>
      <c r="E314" s="10" t="s">
        <v>521</v>
      </c>
      <c r="F314" s="10"/>
      <c r="G314" s="10" t="s">
        <v>571</v>
      </c>
      <c r="H314" s="10" t="s">
        <v>181</v>
      </c>
      <c r="I314" s="10" t="s">
        <v>551</v>
      </c>
      <c r="J314" s="10"/>
      <c r="K314" s="43">
        <v>2.14</v>
      </c>
      <c r="L314" s="10" t="s">
        <v>43</v>
      </c>
      <c r="M314" s="44">
        <v>1.4307E-2</v>
      </c>
      <c r="N314" s="12">
        <v>1.2E-2</v>
      </c>
      <c r="O314" s="11">
        <v>60000</v>
      </c>
      <c r="P314" s="11">
        <v>100.62</v>
      </c>
      <c r="Q314" s="11">
        <v>232.08</v>
      </c>
      <c r="R314" s="12">
        <v>1E-4</v>
      </c>
      <c r="S314" s="12">
        <v>2.9999999999999997E-4</v>
      </c>
      <c r="T314" s="12">
        <v>1E-4</v>
      </c>
    </row>
    <row r="315" spans="2:20">
      <c r="B315" s="10" t="s">
        <v>572</v>
      </c>
      <c r="C315" s="43" t="s">
        <v>573</v>
      </c>
      <c r="D315" s="10" t="s">
        <v>184</v>
      </c>
      <c r="E315" s="10" t="s">
        <v>521</v>
      </c>
      <c r="F315" s="10"/>
      <c r="G315" s="10" t="s">
        <v>547</v>
      </c>
      <c r="H315" s="10" t="s">
        <v>181</v>
      </c>
      <c r="I315" s="10" t="s">
        <v>551</v>
      </c>
      <c r="J315" s="10"/>
      <c r="K315" s="43">
        <v>2.72</v>
      </c>
      <c r="L315" s="10" t="s">
        <v>43</v>
      </c>
      <c r="M315" s="44">
        <v>1.231E-2</v>
      </c>
      <c r="N315" s="12">
        <v>1.2E-2</v>
      </c>
      <c r="O315" s="11">
        <v>150000</v>
      </c>
      <c r="P315" s="11">
        <v>100.93</v>
      </c>
      <c r="Q315" s="11">
        <v>581.97</v>
      </c>
      <c r="R315" s="12">
        <v>2.0000000000000001E-4</v>
      </c>
      <c r="S315" s="12">
        <v>8.0000000000000004E-4</v>
      </c>
      <c r="T315" s="12">
        <v>2.0000000000000001E-4</v>
      </c>
    </row>
    <row r="316" spans="2:20">
      <c r="B316" s="10" t="s">
        <v>574</v>
      </c>
      <c r="C316" s="43" t="s">
        <v>575</v>
      </c>
      <c r="D316" s="10" t="s">
        <v>184</v>
      </c>
      <c r="E316" s="10" t="s">
        <v>521</v>
      </c>
      <c r="F316" s="10"/>
      <c r="G316" s="10" t="s">
        <v>576</v>
      </c>
      <c r="H316" s="10" t="s">
        <v>333</v>
      </c>
      <c r="I316" s="10" t="s">
        <v>118</v>
      </c>
      <c r="J316" s="10"/>
      <c r="K316" s="43">
        <v>2.37</v>
      </c>
      <c r="L316" s="10" t="s">
        <v>43</v>
      </c>
      <c r="M316" s="44">
        <v>1.8499999999999999E-2</v>
      </c>
      <c r="N316" s="12">
        <v>1.67E-2</v>
      </c>
      <c r="O316" s="11">
        <v>200000</v>
      </c>
      <c r="P316" s="11">
        <v>100.58</v>
      </c>
      <c r="Q316" s="11">
        <v>773.29</v>
      </c>
      <c r="R316" s="12">
        <v>2.9999999999999997E-4</v>
      </c>
      <c r="S316" s="12">
        <v>1E-3</v>
      </c>
      <c r="T316" s="12">
        <v>2.0000000000000001E-4</v>
      </c>
    </row>
    <row r="317" spans="2:20">
      <c r="B317" s="10" t="s">
        <v>577</v>
      </c>
      <c r="C317" s="43" t="s">
        <v>578</v>
      </c>
      <c r="D317" s="10" t="s">
        <v>184</v>
      </c>
      <c r="E317" s="10" t="s">
        <v>521</v>
      </c>
      <c r="F317" s="10"/>
      <c r="G317" s="10" t="s">
        <v>579</v>
      </c>
      <c r="H317" s="10" t="s">
        <v>333</v>
      </c>
      <c r="I317" s="10" t="s">
        <v>118</v>
      </c>
      <c r="J317" s="10"/>
      <c r="K317" s="43">
        <v>7.28</v>
      </c>
      <c r="L317" s="10" t="s">
        <v>43</v>
      </c>
      <c r="M317" s="44">
        <v>4.2500000000000003E-2</v>
      </c>
      <c r="N317" s="12">
        <v>5.0900000000000001E-2</v>
      </c>
      <c r="O317" s="11">
        <v>874000</v>
      </c>
      <c r="P317" s="11">
        <v>95.58</v>
      </c>
      <c r="Q317" s="11">
        <v>3211.09</v>
      </c>
      <c r="R317" s="12">
        <v>2.8999999999999998E-3</v>
      </c>
      <c r="S317" s="12">
        <v>4.1999999999999997E-3</v>
      </c>
      <c r="T317" s="12">
        <v>8.0000000000000004E-4</v>
      </c>
    </row>
    <row r="318" spans="2:20">
      <c r="B318" s="10" t="s">
        <v>580</v>
      </c>
      <c r="C318" s="43" t="s">
        <v>581</v>
      </c>
      <c r="D318" s="10" t="s">
        <v>184</v>
      </c>
      <c r="E318" s="10" t="s">
        <v>521</v>
      </c>
      <c r="F318" s="10"/>
      <c r="G318" s="10" t="s">
        <v>561</v>
      </c>
      <c r="H318" s="10" t="s">
        <v>360</v>
      </c>
      <c r="I318" s="10" t="s">
        <v>118</v>
      </c>
      <c r="J318" s="10"/>
      <c r="K318" s="43">
        <v>2.63</v>
      </c>
      <c r="L318" s="10" t="s">
        <v>43</v>
      </c>
      <c r="M318" s="44">
        <v>0.05</v>
      </c>
      <c r="N318" s="12">
        <v>2.3199999999999998E-2</v>
      </c>
      <c r="O318" s="11">
        <v>100000</v>
      </c>
      <c r="P318" s="11">
        <v>108.26</v>
      </c>
      <c r="Q318" s="11">
        <v>416.14</v>
      </c>
      <c r="R318" s="12">
        <v>1E-4</v>
      </c>
      <c r="S318" s="12">
        <v>5.0000000000000001E-4</v>
      </c>
      <c r="T318" s="12">
        <v>1E-4</v>
      </c>
    </row>
    <row r="319" spans="2:20">
      <c r="B319" s="10" t="s">
        <v>582</v>
      </c>
      <c r="C319" s="43" t="s">
        <v>583</v>
      </c>
      <c r="D319" s="10" t="s">
        <v>184</v>
      </c>
      <c r="E319" s="10" t="s">
        <v>521</v>
      </c>
      <c r="F319" s="10"/>
      <c r="G319" s="10" t="s">
        <v>540</v>
      </c>
      <c r="H319" s="10" t="s">
        <v>360</v>
      </c>
      <c r="I319" s="10" t="s">
        <v>118</v>
      </c>
      <c r="J319" s="10"/>
      <c r="K319" s="43">
        <v>3.29</v>
      </c>
      <c r="L319" s="10" t="s">
        <v>43</v>
      </c>
      <c r="M319" s="44">
        <v>2.375E-2</v>
      </c>
      <c r="N319" s="12">
        <v>2.3599999999999999E-2</v>
      </c>
      <c r="O319" s="11">
        <v>266000</v>
      </c>
      <c r="P319" s="11">
        <v>100.32</v>
      </c>
      <c r="Q319" s="11">
        <v>1025.81</v>
      </c>
      <c r="R319" s="12">
        <v>2.0000000000000001E-4</v>
      </c>
      <c r="S319" s="12">
        <v>1.2999999999999999E-3</v>
      </c>
      <c r="T319" s="12">
        <v>2.9999999999999997E-4</v>
      </c>
    </row>
    <row r="320" spans="2:20">
      <c r="B320" s="10" t="s">
        <v>584</v>
      </c>
      <c r="C320" s="43" t="s">
        <v>585</v>
      </c>
      <c r="D320" s="10" t="s">
        <v>520</v>
      </c>
      <c r="E320" s="10" t="s">
        <v>521</v>
      </c>
      <c r="F320" s="10"/>
      <c r="G320" s="10" t="s">
        <v>586</v>
      </c>
      <c r="H320" s="10" t="s">
        <v>360</v>
      </c>
      <c r="I320" s="10" t="s">
        <v>118</v>
      </c>
      <c r="J320" s="10"/>
      <c r="K320" s="43">
        <v>4.04</v>
      </c>
      <c r="L320" s="10" t="s">
        <v>53</v>
      </c>
      <c r="M320" s="44">
        <v>4.4999999999999998E-2</v>
      </c>
      <c r="N320" s="12">
        <v>3.7999999999999999E-2</v>
      </c>
      <c r="O320" s="11">
        <v>915000</v>
      </c>
      <c r="P320" s="11">
        <v>105.28</v>
      </c>
      <c r="Q320" s="11">
        <v>2670.04</v>
      </c>
      <c r="R320" s="12">
        <v>2.3E-3</v>
      </c>
      <c r="S320" s="12">
        <v>3.5000000000000001E-3</v>
      </c>
      <c r="T320" s="12">
        <v>6.9999999999999999E-4</v>
      </c>
    </row>
    <row r="321" spans="2:20">
      <c r="B321" s="10" t="s">
        <v>587</v>
      </c>
      <c r="C321" s="43" t="s">
        <v>588</v>
      </c>
      <c r="D321" s="10" t="s">
        <v>520</v>
      </c>
      <c r="E321" s="10" t="s">
        <v>521</v>
      </c>
      <c r="F321" s="10"/>
      <c r="G321" s="10" t="s">
        <v>579</v>
      </c>
      <c r="H321" s="10" t="s">
        <v>360</v>
      </c>
      <c r="I321" s="10" t="s">
        <v>118</v>
      </c>
      <c r="J321" s="10"/>
      <c r="K321" s="43">
        <v>4.41</v>
      </c>
      <c r="L321" s="10" t="s">
        <v>45</v>
      </c>
      <c r="M321" s="44">
        <v>8.2500000000000004E-2</v>
      </c>
      <c r="N321" s="12">
        <v>2.8299999999999999E-2</v>
      </c>
      <c r="O321" s="11">
        <v>1300000</v>
      </c>
      <c r="P321" s="11">
        <v>132.05000000000001</v>
      </c>
      <c r="Q321" s="11">
        <v>8078.81</v>
      </c>
      <c r="R321" s="12">
        <v>2.5999999999999999E-3</v>
      </c>
      <c r="S321" s="12">
        <v>1.0500000000000001E-2</v>
      </c>
      <c r="T321" s="12">
        <v>2.0999999999999999E-3</v>
      </c>
    </row>
    <row r="322" spans="2:20">
      <c r="B322" s="10" t="s">
        <v>589</v>
      </c>
      <c r="C322" s="43" t="s">
        <v>590</v>
      </c>
      <c r="D322" s="10" t="s">
        <v>180</v>
      </c>
      <c r="E322" s="10" t="s">
        <v>521</v>
      </c>
      <c r="F322" s="10"/>
      <c r="G322" s="10" t="s">
        <v>184</v>
      </c>
      <c r="H322" s="10" t="s">
        <v>201</v>
      </c>
      <c r="I322" s="10" t="s">
        <v>551</v>
      </c>
      <c r="J322" s="10"/>
      <c r="K322" s="43">
        <v>4.59</v>
      </c>
      <c r="L322" s="10" t="s">
        <v>43</v>
      </c>
      <c r="M322" s="44">
        <v>3.3000000000000002E-2</v>
      </c>
      <c r="N322" s="12">
        <v>2.5700000000000001E-2</v>
      </c>
      <c r="O322" s="11">
        <v>1342000</v>
      </c>
      <c r="P322" s="11">
        <v>103.65</v>
      </c>
      <c r="Q322" s="11">
        <v>5346.74</v>
      </c>
      <c r="R322" s="12">
        <v>1.2999999999999999E-3</v>
      </c>
      <c r="S322" s="12">
        <v>6.8999999999999999E-3</v>
      </c>
      <c r="T322" s="12">
        <v>1.4E-3</v>
      </c>
    </row>
    <row r="323" spans="2:20">
      <c r="B323" s="10" t="s">
        <v>591</v>
      </c>
      <c r="C323" s="43" t="s">
        <v>592</v>
      </c>
      <c r="D323" s="10" t="s">
        <v>180</v>
      </c>
      <c r="E323" s="10" t="s">
        <v>521</v>
      </c>
      <c r="F323" s="10"/>
      <c r="G323" s="10" t="s">
        <v>576</v>
      </c>
      <c r="H323" s="10" t="s">
        <v>201</v>
      </c>
      <c r="I323" s="10" t="s">
        <v>118</v>
      </c>
      <c r="J323" s="10"/>
      <c r="K323" s="43">
        <v>3.76</v>
      </c>
      <c r="L323" s="10" t="s">
        <v>43</v>
      </c>
      <c r="M323" s="44">
        <v>4.5999999999999999E-2</v>
      </c>
      <c r="N323" s="12">
        <v>3.0700000000000002E-2</v>
      </c>
      <c r="O323" s="11">
        <v>586000</v>
      </c>
      <c r="P323" s="11">
        <v>107.68</v>
      </c>
      <c r="Q323" s="11">
        <f>2425.67-500</f>
        <v>1925.67</v>
      </c>
      <c r="R323" s="12">
        <v>5.9999999999999995E-4</v>
      </c>
      <c r="S323" s="12">
        <v>3.0999999999999999E-3</v>
      </c>
      <c r="T323" s="12">
        <v>5.9999999999999995E-4</v>
      </c>
    </row>
    <row r="324" spans="2:20">
      <c r="B324" s="10" t="s">
        <v>593</v>
      </c>
      <c r="C324" s="43" t="s">
        <v>594</v>
      </c>
      <c r="D324" s="10" t="s">
        <v>180</v>
      </c>
      <c r="E324" s="10" t="s">
        <v>521</v>
      </c>
      <c r="F324" s="10"/>
      <c r="G324" s="10" t="s">
        <v>540</v>
      </c>
      <c r="H324" s="10" t="s">
        <v>201</v>
      </c>
      <c r="I324" s="10" t="s">
        <v>551</v>
      </c>
      <c r="J324" s="10"/>
      <c r="K324" s="43">
        <v>0.19</v>
      </c>
      <c r="L324" s="10" t="s">
        <v>60</v>
      </c>
      <c r="M324" s="44">
        <v>0.1071</v>
      </c>
      <c r="N324" s="12">
        <v>0.12620000000000001</v>
      </c>
      <c r="O324" s="11">
        <v>3120000</v>
      </c>
      <c r="P324" s="11">
        <v>103.01</v>
      </c>
      <c r="Q324" s="11">
        <f>3797-200.05</f>
        <v>3596.95</v>
      </c>
      <c r="R324" s="12">
        <v>4.8999999999999998E-3</v>
      </c>
      <c r="S324" s="12">
        <v>4.8999999999999998E-3</v>
      </c>
      <c r="T324" s="12">
        <v>1E-3</v>
      </c>
    </row>
    <row r="325" spans="2:20">
      <c r="B325" s="10" t="s">
        <v>595</v>
      </c>
      <c r="C325" s="43" t="s">
        <v>596</v>
      </c>
      <c r="D325" s="10" t="s">
        <v>184</v>
      </c>
      <c r="E325" s="10" t="s">
        <v>521</v>
      </c>
      <c r="F325" s="10"/>
      <c r="G325" s="10" t="s">
        <v>540</v>
      </c>
      <c r="H325" s="10" t="s">
        <v>201</v>
      </c>
      <c r="I325" s="10" t="s">
        <v>118</v>
      </c>
      <c r="J325" s="10"/>
      <c r="K325" s="43">
        <v>1.49</v>
      </c>
      <c r="L325" s="10" t="s">
        <v>60</v>
      </c>
      <c r="M325" s="44">
        <v>0.1075</v>
      </c>
      <c r="N325" s="12">
        <v>0.12709999999999999</v>
      </c>
      <c r="O325" s="11">
        <v>1150000</v>
      </c>
      <c r="P325" s="11">
        <v>101.53</v>
      </c>
      <c r="Q325" s="11">
        <v>1379.41</v>
      </c>
      <c r="R325" s="12">
        <v>1.44E-2</v>
      </c>
      <c r="S325" s="12">
        <v>1.8E-3</v>
      </c>
      <c r="T325" s="12">
        <v>4.0000000000000002E-4</v>
      </c>
    </row>
    <row r="326" spans="2:20">
      <c r="B326" s="10" t="s">
        <v>597</v>
      </c>
      <c r="C326" s="43" t="s">
        <v>598</v>
      </c>
      <c r="D326" s="10" t="s">
        <v>180</v>
      </c>
      <c r="E326" s="10" t="s">
        <v>521</v>
      </c>
      <c r="F326" s="10"/>
      <c r="G326" s="10" t="s">
        <v>565</v>
      </c>
      <c r="H326" s="10" t="s">
        <v>201</v>
      </c>
      <c r="I326" s="10" t="s">
        <v>118</v>
      </c>
      <c r="J326" s="10"/>
      <c r="K326" s="43">
        <v>2.19</v>
      </c>
      <c r="L326" s="10" t="s">
        <v>43</v>
      </c>
      <c r="M326" s="44">
        <v>2.6499999999999999E-2</v>
      </c>
      <c r="N326" s="12">
        <v>2.18E-2</v>
      </c>
      <c r="O326" s="11">
        <v>100000</v>
      </c>
      <c r="P326" s="11">
        <v>101.69</v>
      </c>
      <c r="Q326" s="11">
        <v>390.9</v>
      </c>
      <c r="R326" s="12">
        <v>0</v>
      </c>
      <c r="S326" s="12">
        <v>5.0000000000000001E-4</v>
      </c>
      <c r="T326" s="12">
        <v>1E-4</v>
      </c>
    </row>
    <row r="327" spans="2:20">
      <c r="B327" s="10" t="s">
        <v>599</v>
      </c>
      <c r="C327" s="43" t="s">
        <v>600</v>
      </c>
      <c r="D327" s="10" t="s">
        <v>184</v>
      </c>
      <c r="E327" s="10" t="s">
        <v>521</v>
      </c>
      <c r="F327" s="10"/>
      <c r="G327" s="10" t="s">
        <v>540</v>
      </c>
      <c r="H327" s="10" t="s">
        <v>201</v>
      </c>
      <c r="I327" s="10" t="s">
        <v>118</v>
      </c>
      <c r="J327" s="10"/>
      <c r="K327" s="43">
        <v>1.31</v>
      </c>
      <c r="L327" s="10" t="s">
        <v>43</v>
      </c>
      <c r="M327" s="44">
        <v>2.0858999999999999E-2</v>
      </c>
      <c r="N327" s="12">
        <v>1.49E-2</v>
      </c>
      <c r="O327" s="11">
        <v>150000</v>
      </c>
      <c r="P327" s="11">
        <v>101.2</v>
      </c>
      <c r="Q327" s="11">
        <v>583.52</v>
      </c>
      <c r="R327" s="12">
        <v>1E-4</v>
      </c>
      <c r="S327" s="12">
        <v>8.0000000000000004E-4</v>
      </c>
      <c r="T327" s="12">
        <v>2.0000000000000001E-4</v>
      </c>
    </row>
    <row r="328" spans="2:20">
      <c r="B328" s="10" t="s">
        <v>601</v>
      </c>
      <c r="C328" s="43" t="s">
        <v>602</v>
      </c>
      <c r="D328" s="10" t="s">
        <v>184</v>
      </c>
      <c r="E328" s="10" t="s">
        <v>521</v>
      </c>
      <c r="F328" s="10"/>
      <c r="G328" s="10" t="s">
        <v>586</v>
      </c>
      <c r="H328" s="10" t="s">
        <v>201</v>
      </c>
      <c r="I328" s="10" t="s">
        <v>202</v>
      </c>
      <c r="J328" s="10"/>
      <c r="K328" s="43">
        <v>1.74</v>
      </c>
      <c r="L328" s="10" t="s">
        <v>43</v>
      </c>
      <c r="M328" s="44">
        <v>9.7000000000000003E-2</v>
      </c>
      <c r="N328" s="12">
        <v>1.83E-2</v>
      </c>
      <c r="O328" s="11">
        <v>120000</v>
      </c>
      <c r="P328" s="11">
        <v>115.68</v>
      </c>
      <c r="Q328" s="11">
        <v>533.62</v>
      </c>
      <c r="R328" s="12">
        <v>0</v>
      </c>
      <c r="S328" s="12">
        <v>6.9999999999999999E-4</v>
      </c>
      <c r="T328" s="12">
        <v>1E-4</v>
      </c>
    </row>
    <row r="329" spans="2:20">
      <c r="B329" s="10" t="s">
        <v>603</v>
      </c>
      <c r="C329" s="43" t="s">
        <v>604</v>
      </c>
      <c r="D329" s="10" t="s">
        <v>520</v>
      </c>
      <c r="E329" s="10" t="s">
        <v>521</v>
      </c>
      <c r="F329" s="10"/>
      <c r="G329" s="10" t="s">
        <v>540</v>
      </c>
      <c r="H329" s="10" t="s">
        <v>201</v>
      </c>
      <c r="I329" s="10" t="s">
        <v>118</v>
      </c>
      <c r="J329" s="10"/>
      <c r="K329" s="43">
        <v>3.14</v>
      </c>
      <c r="L329" s="10" t="s">
        <v>60</v>
      </c>
      <c r="M329" s="44">
        <v>0.115</v>
      </c>
      <c r="N329" s="12">
        <v>0.114</v>
      </c>
      <c r="O329" s="11">
        <v>2160000</v>
      </c>
      <c r="P329" s="11">
        <v>103.33</v>
      </c>
      <c r="Q329" s="11">
        <f>2636.86-100</f>
        <v>2536.86</v>
      </c>
      <c r="R329" s="12">
        <v>2.7000000000000001E-3</v>
      </c>
      <c r="S329" s="12">
        <v>3.3999999999999998E-3</v>
      </c>
      <c r="T329" s="12">
        <v>6.9999999999999999E-4</v>
      </c>
    </row>
    <row r="330" spans="2:20">
      <c r="B330" s="10" t="s">
        <v>605</v>
      </c>
      <c r="C330" s="43" t="s">
        <v>606</v>
      </c>
      <c r="D330" s="10" t="s">
        <v>184</v>
      </c>
      <c r="E330" s="10" t="s">
        <v>521</v>
      </c>
      <c r="F330" s="10"/>
      <c r="G330" s="10" t="s">
        <v>540</v>
      </c>
      <c r="H330" s="10" t="s">
        <v>201</v>
      </c>
      <c r="I330" s="10" t="s">
        <v>118</v>
      </c>
      <c r="J330" s="10"/>
      <c r="K330" s="43">
        <v>1.3</v>
      </c>
      <c r="L330" s="10" t="s">
        <v>43</v>
      </c>
      <c r="M330" s="44">
        <v>2.001E-2</v>
      </c>
      <c r="N330" s="12">
        <v>1.3899999999999999E-2</v>
      </c>
      <c r="O330" s="11">
        <v>100000</v>
      </c>
      <c r="P330" s="11">
        <v>101.43</v>
      </c>
      <c r="Q330" s="11">
        <v>389.9</v>
      </c>
      <c r="R330" s="12">
        <v>1E-4</v>
      </c>
      <c r="S330" s="12">
        <v>5.0000000000000001E-4</v>
      </c>
      <c r="T330" s="12">
        <v>1E-4</v>
      </c>
    </row>
    <row r="331" spans="2:20">
      <c r="B331" s="10" t="s">
        <v>607</v>
      </c>
      <c r="C331" s="43" t="s">
        <v>608</v>
      </c>
      <c r="D331" s="10" t="s">
        <v>184</v>
      </c>
      <c r="E331" s="10" t="s">
        <v>521</v>
      </c>
      <c r="F331" s="10"/>
      <c r="G331" s="10" t="s">
        <v>561</v>
      </c>
      <c r="H331" s="10" t="s">
        <v>201</v>
      </c>
      <c r="I331" s="10" t="s">
        <v>118</v>
      </c>
      <c r="J331" s="10"/>
      <c r="K331" s="43">
        <v>2.3199999999999998</v>
      </c>
      <c r="L331" s="10" t="s">
        <v>43</v>
      </c>
      <c r="M331" s="44">
        <v>5.45E-2</v>
      </c>
      <c r="N331" s="12">
        <v>2.2200000000000001E-2</v>
      </c>
      <c r="O331" s="11">
        <v>143000</v>
      </c>
      <c r="P331" s="11">
        <v>107.98</v>
      </c>
      <c r="Q331" s="11">
        <v>593.54</v>
      </c>
      <c r="R331" s="12">
        <v>1E-4</v>
      </c>
      <c r="S331" s="12">
        <v>8.0000000000000004E-4</v>
      </c>
      <c r="T331" s="12">
        <v>2.0000000000000001E-4</v>
      </c>
    </row>
    <row r="332" spans="2:20">
      <c r="B332" s="10" t="s">
        <v>609</v>
      </c>
      <c r="C332" s="43" t="s">
        <v>610</v>
      </c>
      <c r="D332" s="10" t="s">
        <v>180</v>
      </c>
      <c r="E332" s="10" t="s">
        <v>521</v>
      </c>
      <c r="F332" s="10"/>
      <c r="G332" s="10" t="s">
        <v>561</v>
      </c>
      <c r="H332" s="10" t="s">
        <v>201</v>
      </c>
      <c r="I332" s="10" t="s">
        <v>118</v>
      </c>
      <c r="J332" s="10"/>
      <c r="K332" s="43">
        <v>3.43</v>
      </c>
      <c r="L332" s="10" t="s">
        <v>43</v>
      </c>
      <c r="M332" s="44">
        <v>4.4999999999999998E-2</v>
      </c>
      <c r="N332" s="12">
        <v>2.5899999999999999E-2</v>
      </c>
      <c r="O332" s="11">
        <v>779000</v>
      </c>
      <c r="P332" s="11">
        <v>108.08</v>
      </c>
      <c r="Q332" s="11">
        <v>3236.29</v>
      </c>
      <c r="R332" s="12">
        <v>2.0000000000000001E-4</v>
      </c>
      <c r="S332" s="12">
        <v>4.1999999999999997E-3</v>
      </c>
      <c r="T332" s="12">
        <v>8.0000000000000004E-4</v>
      </c>
    </row>
    <row r="333" spans="2:20">
      <c r="B333" s="10" t="s">
        <v>611</v>
      </c>
      <c r="C333" s="43" t="s">
        <v>612</v>
      </c>
      <c r="D333" s="10" t="s">
        <v>184</v>
      </c>
      <c r="E333" s="10" t="s">
        <v>521</v>
      </c>
      <c r="F333" s="10"/>
      <c r="G333" s="10" t="s">
        <v>184</v>
      </c>
      <c r="H333" s="10" t="s">
        <v>381</v>
      </c>
      <c r="I333" s="10" t="s">
        <v>202</v>
      </c>
      <c r="J333" s="10"/>
      <c r="K333" s="43">
        <v>5.13</v>
      </c>
      <c r="L333" s="10" t="s">
        <v>43</v>
      </c>
      <c r="M333" s="44">
        <v>2.5999999999999999E-2</v>
      </c>
      <c r="N333" s="12">
        <v>3.2300000000000002E-2</v>
      </c>
      <c r="O333" s="11">
        <v>912000</v>
      </c>
      <c r="P333" s="11">
        <v>98.14</v>
      </c>
      <c r="Q333" s="11">
        <f>3440.58-500</f>
        <v>2940.58</v>
      </c>
      <c r="R333" s="12">
        <v>8.9999999999999998E-4</v>
      </c>
      <c r="S333" s="12">
        <v>4.4999999999999997E-3</v>
      </c>
      <c r="T333" s="12">
        <v>8.9999999999999998E-4</v>
      </c>
    </row>
    <row r="334" spans="2:20">
      <c r="B334" s="10" t="s">
        <v>613</v>
      </c>
      <c r="C334" s="43" t="s">
        <v>614</v>
      </c>
      <c r="D334" s="10" t="s">
        <v>180</v>
      </c>
      <c r="E334" s="10" t="s">
        <v>521</v>
      </c>
      <c r="F334" s="10"/>
      <c r="G334" s="10" t="s">
        <v>561</v>
      </c>
      <c r="H334" s="10" t="s">
        <v>381</v>
      </c>
      <c r="I334" s="10" t="s">
        <v>551</v>
      </c>
      <c r="J334" s="10"/>
      <c r="K334" s="43">
        <v>4.3899999999999997</v>
      </c>
      <c r="L334" s="10" t="s">
        <v>43</v>
      </c>
      <c r="M334" s="44">
        <v>3.3599999999999998E-2</v>
      </c>
      <c r="N334" s="12">
        <v>3.32E-2</v>
      </c>
      <c r="O334" s="11">
        <v>565000</v>
      </c>
      <c r="P334" s="11">
        <v>100.42</v>
      </c>
      <c r="Q334" s="11">
        <v>2181.0100000000002</v>
      </c>
      <c r="R334" s="12">
        <v>2.0000000000000001E-4</v>
      </c>
      <c r="S334" s="12">
        <v>2.8E-3</v>
      </c>
      <c r="T334" s="12">
        <v>5.9999999999999995E-4</v>
      </c>
    </row>
    <row r="335" spans="2:20">
      <c r="B335" s="10" t="s">
        <v>615</v>
      </c>
      <c r="C335" s="43" t="s">
        <v>616</v>
      </c>
      <c r="D335" s="10" t="s">
        <v>184</v>
      </c>
      <c r="E335" s="10" t="s">
        <v>521</v>
      </c>
      <c r="F335" s="10"/>
      <c r="G335" s="10" t="s">
        <v>527</v>
      </c>
      <c r="H335" s="10" t="s">
        <v>383</v>
      </c>
      <c r="I335" s="10" t="s">
        <v>118</v>
      </c>
      <c r="J335" s="10"/>
      <c r="K335" s="43">
        <v>5.22</v>
      </c>
      <c r="L335" s="10" t="s">
        <v>43</v>
      </c>
      <c r="M335" s="44">
        <v>4.4999999999999998E-2</v>
      </c>
      <c r="N335" s="12">
        <v>4.4999999999999998E-2</v>
      </c>
      <c r="O335" s="11">
        <v>11000</v>
      </c>
      <c r="P335" s="11">
        <v>100.73</v>
      </c>
      <c r="Q335" s="11">
        <v>42.59</v>
      </c>
      <c r="R335" s="12">
        <v>0</v>
      </c>
      <c r="S335" s="12">
        <v>1E-4</v>
      </c>
      <c r="T335" s="12">
        <v>0</v>
      </c>
    </row>
    <row r="336" spans="2:20">
      <c r="B336" s="10" t="s">
        <v>617</v>
      </c>
      <c r="C336" s="43" t="s">
        <v>618</v>
      </c>
      <c r="D336" s="10" t="s">
        <v>619</v>
      </c>
      <c r="E336" s="10" t="s">
        <v>521</v>
      </c>
      <c r="F336" s="10"/>
      <c r="G336" s="10" t="s">
        <v>565</v>
      </c>
      <c r="H336" s="10" t="s">
        <v>383</v>
      </c>
      <c r="I336" s="10" t="s">
        <v>118</v>
      </c>
      <c r="J336" s="10"/>
      <c r="K336" s="43">
        <v>7.2</v>
      </c>
      <c r="L336" s="10" t="s">
        <v>43</v>
      </c>
      <c r="M336" s="44">
        <v>6.7500000000000004E-2</v>
      </c>
      <c r="N336" s="12">
        <v>6.0299999999999999E-2</v>
      </c>
      <c r="O336" s="11">
        <v>200000</v>
      </c>
      <c r="P336" s="11">
        <v>106.02</v>
      </c>
      <c r="Q336" s="11">
        <v>815.07</v>
      </c>
      <c r="R336" s="12">
        <v>2.0000000000000001E-4</v>
      </c>
      <c r="S336" s="12">
        <v>1.1000000000000001E-3</v>
      </c>
      <c r="T336" s="12">
        <v>2.0000000000000001E-4</v>
      </c>
    </row>
    <row r="337" spans="2:20">
      <c r="B337" s="10" t="s">
        <v>620</v>
      </c>
      <c r="C337" s="43" t="s">
        <v>621</v>
      </c>
      <c r="D337" s="10" t="s">
        <v>180</v>
      </c>
      <c r="E337" s="10" t="s">
        <v>521</v>
      </c>
      <c r="F337" s="10"/>
      <c r="G337" s="10" t="s">
        <v>184</v>
      </c>
      <c r="H337" s="10" t="s">
        <v>383</v>
      </c>
      <c r="I337" s="10" t="s">
        <v>118</v>
      </c>
      <c r="J337" s="10"/>
      <c r="K337" s="43">
        <v>3.78</v>
      </c>
      <c r="L337" s="10" t="s">
        <v>43</v>
      </c>
      <c r="M337" s="44">
        <v>5.5E-2</v>
      </c>
      <c r="N337" s="12">
        <v>3.0800000000000001E-2</v>
      </c>
      <c r="O337" s="11">
        <v>725000</v>
      </c>
      <c r="P337" s="11">
        <v>111.19</v>
      </c>
      <c r="Q337" s="11">
        <v>3098.65</v>
      </c>
      <c r="R337" s="12">
        <v>1.1000000000000001E-3</v>
      </c>
      <c r="S337" s="12">
        <v>4.0000000000000001E-3</v>
      </c>
      <c r="T337" s="12">
        <v>8.0000000000000004E-4</v>
      </c>
    </row>
    <row r="338" spans="2:20">
      <c r="B338" s="10" t="s">
        <v>622</v>
      </c>
      <c r="C338" s="43" t="s">
        <v>623</v>
      </c>
      <c r="D338" s="10" t="s">
        <v>180</v>
      </c>
      <c r="E338" s="10" t="s">
        <v>521</v>
      </c>
      <c r="F338" s="10"/>
      <c r="G338" s="10" t="s">
        <v>624</v>
      </c>
      <c r="H338" s="10" t="s">
        <v>383</v>
      </c>
      <c r="I338" s="10" t="s">
        <v>551</v>
      </c>
      <c r="J338" s="10"/>
      <c r="K338" s="43">
        <v>5.35</v>
      </c>
      <c r="L338" s="10" t="s">
        <v>43</v>
      </c>
      <c r="M338" s="44">
        <v>0.05</v>
      </c>
      <c r="N338" s="12">
        <v>4.4600000000000001E-2</v>
      </c>
      <c r="O338" s="11">
        <v>387000</v>
      </c>
      <c r="P338" s="11">
        <v>104.62</v>
      </c>
      <c r="Q338" s="11">
        <v>1556.33</v>
      </c>
      <c r="R338" s="12">
        <v>5.0000000000000001E-4</v>
      </c>
      <c r="S338" s="12">
        <v>2E-3</v>
      </c>
      <c r="T338" s="12">
        <v>4.0000000000000002E-4</v>
      </c>
    </row>
    <row r="339" spans="2:20">
      <c r="B339" s="10" t="s">
        <v>625</v>
      </c>
      <c r="C339" s="43" t="s">
        <v>626</v>
      </c>
      <c r="D339" s="10" t="s">
        <v>184</v>
      </c>
      <c r="E339" s="10" t="s">
        <v>521</v>
      </c>
      <c r="F339" s="10"/>
      <c r="G339" s="10" t="s">
        <v>571</v>
      </c>
      <c r="H339" s="10" t="s">
        <v>383</v>
      </c>
      <c r="I339" s="10" t="s">
        <v>118</v>
      </c>
      <c r="J339" s="10"/>
      <c r="K339" s="43">
        <v>2.91</v>
      </c>
      <c r="L339" s="10" t="s">
        <v>43</v>
      </c>
      <c r="M339" s="44">
        <v>4.6249999999999999E-2</v>
      </c>
      <c r="N339" s="12">
        <v>2.7699999999999999E-2</v>
      </c>
      <c r="O339" s="11">
        <v>930000</v>
      </c>
      <c r="P339" s="11">
        <v>107.27</v>
      </c>
      <c r="Q339" s="11">
        <v>3834.97</v>
      </c>
      <c r="R339" s="12">
        <v>1.9E-3</v>
      </c>
      <c r="S339" s="12">
        <v>5.0000000000000001E-3</v>
      </c>
      <c r="T339" s="12">
        <v>1E-3</v>
      </c>
    </row>
    <row r="340" spans="2:20">
      <c r="B340" s="10" t="s">
        <v>627</v>
      </c>
      <c r="C340" s="43" t="s">
        <v>628</v>
      </c>
      <c r="D340" s="10" t="s">
        <v>184</v>
      </c>
      <c r="E340" s="10" t="s">
        <v>521</v>
      </c>
      <c r="F340" s="10"/>
      <c r="G340" s="10" t="s">
        <v>527</v>
      </c>
      <c r="H340" s="10" t="s">
        <v>383</v>
      </c>
      <c r="I340" s="10" t="s">
        <v>118</v>
      </c>
      <c r="J340" s="10"/>
      <c r="K340" s="43">
        <v>2</v>
      </c>
      <c r="L340" s="10" t="s">
        <v>45</v>
      </c>
      <c r="M340" s="44">
        <v>6.5000000000000002E-2</v>
      </c>
      <c r="N340" s="12">
        <v>1.6799999999999999E-2</v>
      </c>
      <c r="O340" s="11">
        <v>50000</v>
      </c>
      <c r="P340" s="11">
        <v>115.59</v>
      </c>
      <c r="Q340" s="11">
        <v>272</v>
      </c>
      <c r="R340" s="12">
        <v>1E-4</v>
      </c>
      <c r="S340" s="12">
        <v>4.0000000000000002E-4</v>
      </c>
      <c r="T340" s="12">
        <v>1E-4</v>
      </c>
    </row>
    <row r="341" spans="2:20">
      <c r="B341" s="10" t="s">
        <v>629</v>
      </c>
      <c r="C341" s="43" t="s">
        <v>630</v>
      </c>
      <c r="D341" s="10" t="s">
        <v>184</v>
      </c>
      <c r="E341" s="10" t="s">
        <v>521</v>
      </c>
      <c r="F341" s="10"/>
      <c r="G341" s="10" t="s">
        <v>527</v>
      </c>
      <c r="H341" s="10" t="s">
        <v>383</v>
      </c>
      <c r="I341" s="10" t="s">
        <v>118</v>
      </c>
      <c r="J341" s="10"/>
      <c r="K341" s="43">
        <v>6.01</v>
      </c>
      <c r="L341" s="10" t="s">
        <v>43</v>
      </c>
      <c r="M341" s="44">
        <v>4.2500000000000003E-2</v>
      </c>
      <c r="N341" s="12">
        <v>4.0500000000000001E-2</v>
      </c>
      <c r="O341" s="11">
        <v>781000</v>
      </c>
      <c r="P341" s="11">
        <v>101.92</v>
      </c>
      <c r="Q341" s="11">
        <v>3059.9</v>
      </c>
      <c r="R341" s="12">
        <v>8.9999999999999998E-4</v>
      </c>
      <c r="S341" s="12">
        <v>4.0000000000000001E-3</v>
      </c>
      <c r="T341" s="12">
        <v>8.0000000000000004E-4</v>
      </c>
    </row>
    <row r="342" spans="2:20">
      <c r="B342" s="10" t="s">
        <v>631</v>
      </c>
      <c r="C342" s="43" t="s">
        <v>632</v>
      </c>
      <c r="D342" s="10" t="s">
        <v>184</v>
      </c>
      <c r="E342" s="10" t="s">
        <v>521</v>
      </c>
      <c r="F342" s="10"/>
      <c r="G342" s="10" t="s">
        <v>568</v>
      </c>
      <c r="H342" s="10" t="s">
        <v>383</v>
      </c>
      <c r="I342" s="10" t="s">
        <v>551</v>
      </c>
      <c r="J342" s="10"/>
      <c r="K342" s="43">
        <v>4.12</v>
      </c>
      <c r="L342" s="10" t="s">
        <v>58</v>
      </c>
      <c r="M342" s="44">
        <v>7.6499999999999999E-2</v>
      </c>
      <c r="N342" s="12">
        <v>9.7299999999999998E-2</v>
      </c>
      <c r="O342" s="11">
        <v>24804000</v>
      </c>
      <c r="P342" s="11">
        <v>93.48</v>
      </c>
      <c r="Q342" s="11">
        <v>4299.76</v>
      </c>
      <c r="R342" s="12">
        <v>1.1999999999999999E-3</v>
      </c>
      <c r="S342" s="12">
        <v>5.5999999999999999E-3</v>
      </c>
      <c r="T342" s="12">
        <v>1.1000000000000001E-3</v>
      </c>
    </row>
    <row r="343" spans="2:20">
      <c r="B343" s="10" t="s">
        <v>633</v>
      </c>
      <c r="C343" s="43" t="s">
        <v>634</v>
      </c>
      <c r="D343" s="10" t="s">
        <v>635</v>
      </c>
      <c r="E343" s="10" t="s">
        <v>521</v>
      </c>
      <c r="F343" s="10"/>
      <c r="G343" s="10" t="s">
        <v>636</v>
      </c>
      <c r="H343" s="10" t="s">
        <v>383</v>
      </c>
      <c r="I343" s="10" t="s">
        <v>118</v>
      </c>
      <c r="J343" s="10"/>
      <c r="K343" s="43">
        <v>4.95</v>
      </c>
      <c r="L343" s="10" t="s">
        <v>43</v>
      </c>
      <c r="M343" s="44">
        <v>0.04</v>
      </c>
      <c r="N343" s="12">
        <v>4.9500000000000002E-2</v>
      </c>
      <c r="O343" s="11">
        <v>2025000</v>
      </c>
      <c r="P343" s="11">
        <v>97.4</v>
      </c>
      <c r="Q343" s="11">
        <v>7581.49</v>
      </c>
      <c r="R343" s="12">
        <v>2E-3</v>
      </c>
      <c r="S343" s="12">
        <v>9.7999999999999997E-3</v>
      </c>
      <c r="T343" s="12">
        <v>2E-3</v>
      </c>
    </row>
    <row r="344" spans="2:20">
      <c r="B344" s="10" t="s">
        <v>637</v>
      </c>
      <c r="C344" s="43" t="s">
        <v>638</v>
      </c>
      <c r="D344" s="10" t="s">
        <v>184</v>
      </c>
      <c r="E344" s="10" t="s">
        <v>521</v>
      </c>
      <c r="F344" s="10"/>
      <c r="G344" s="10" t="s">
        <v>565</v>
      </c>
      <c r="H344" s="10" t="s">
        <v>639</v>
      </c>
      <c r="I344" s="10" t="s">
        <v>118</v>
      </c>
      <c r="J344" s="10"/>
      <c r="K344" s="43">
        <v>9.61</v>
      </c>
      <c r="L344" s="10" t="s">
        <v>43</v>
      </c>
      <c r="M344" s="44">
        <v>8.1189999999999995E-3</v>
      </c>
      <c r="N344" s="12">
        <v>2.1600000000000001E-2</v>
      </c>
      <c r="O344" s="11">
        <v>462000</v>
      </c>
      <c r="P344" s="11">
        <v>88.13</v>
      </c>
      <c r="Q344" s="11">
        <v>1565.16</v>
      </c>
      <c r="R344" s="7"/>
      <c r="S344" s="12">
        <v>2E-3</v>
      </c>
      <c r="T344" s="12">
        <v>4.0000000000000002E-4</v>
      </c>
    </row>
    <row r="345" spans="2:20">
      <c r="B345" s="10" t="s">
        <v>640</v>
      </c>
      <c r="C345" s="43" t="s">
        <v>641</v>
      </c>
      <c r="D345" s="10" t="s">
        <v>180</v>
      </c>
      <c r="E345" s="10" t="s">
        <v>521</v>
      </c>
      <c r="F345" s="10"/>
      <c r="G345" s="10" t="s">
        <v>576</v>
      </c>
      <c r="H345" s="10" t="s">
        <v>639</v>
      </c>
      <c r="I345" s="10" t="s">
        <v>551</v>
      </c>
      <c r="J345" s="10"/>
      <c r="K345" s="43">
        <v>6.44</v>
      </c>
      <c r="L345" s="10" t="s">
        <v>43</v>
      </c>
      <c r="M345" s="44">
        <v>4.4999999999999998E-2</v>
      </c>
      <c r="N345" s="12">
        <v>4.5199999999999997E-2</v>
      </c>
      <c r="O345" s="11">
        <v>1314000</v>
      </c>
      <c r="P345" s="11">
        <v>101.84</v>
      </c>
      <c r="Q345" s="11">
        <f>5144.13-140</f>
        <v>5004.13</v>
      </c>
      <c r="R345" s="12">
        <v>2.5999999999999999E-3</v>
      </c>
      <c r="S345" s="12">
        <v>6.7000000000000002E-3</v>
      </c>
      <c r="T345" s="12">
        <v>1.2999999999999999E-3</v>
      </c>
    </row>
    <row r="346" spans="2:20">
      <c r="B346" s="10" t="s">
        <v>642</v>
      </c>
      <c r="C346" s="43" t="s">
        <v>643</v>
      </c>
      <c r="D346" s="10" t="s">
        <v>184</v>
      </c>
      <c r="E346" s="10" t="s">
        <v>521</v>
      </c>
      <c r="F346" s="10"/>
      <c r="G346" s="10" t="s">
        <v>184</v>
      </c>
      <c r="H346" s="10" t="s">
        <v>639</v>
      </c>
      <c r="I346" s="10" t="s">
        <v>118</v>
      </c>
      <c r="J346" s="10"/>
      <c r="K346" s="43">
        <v>3.81</v>
      </c>
      <c r="L346" s="10" t="s">
        <v>43</v>
      </c>
      <c r="M346" s="44">
        <v>5.9499999999999997E-2</v>
      </c>
      <c r="N346" s="12">
        <v>4.5900000000000003E-2</v>
      </c>
      <c r="O346" s="11">
        <v>747000</v>
      </c>
      <c r="P346" s="11">
        <v>106.69</v>
      </c>
      <c r="Q346" s="11">
        <v>3063.67</v>
      </c>
      <c r="R346" s="12">
        <v>5.9999999999999995E-4</v>
      </c>
      <c r="S346" s="12">
        <v>4.0000000000000001E-3</v>
      </c>
      <c r="T346" s="12">
        <v>8.0000000000000004E-4</v>
      </c>
    </row>
    <row r="347" spans="2:20">
      <c r="B347" s="10" t="s">
        <v>644</v>
      </c>
      <c r="C347" s="43" t="s">
        <v>645</v>
      </c>
      <c r="D347" s="10" t="s">
        <v>180</v>
      </c>
      <c r="E347" s="10" t="s">
        <v>521</v>
      </c>
      <c r="F347" s="10"/>
      <c r="G347" s="10" t="s">
        <v>558</v>
      </c>
      <c r="H347" s="10" t="s">
        <v>639</v>
      </c>
      <c r="I347" s="10" t="s">
        <v>551</v>
      </c>
      <c r="J347" s="10"/>
      <c r="K347" s="43">
        <v>2.12</v>
      </c>
      <c r="L347" s="10" t="s">
        <v>43</v>
      </c>
      <c r="M347" s="44">
        <v>3.7499999999999999E-2</v>
      </c>
      <c r="N347" s="12">
        <v>2.5000000000000001E-2</v>
      </c>
      <c r="O347" s="11">
        <v>414000</v>
      </c>
      <c r="P347" s="11">
        <v>103.8</v>
      </c>
      <c r="Q347" s="11">
        <v>1651.9</v>
      </c>
      <c r="R347" s="12">
        <v>2.9999999999999997E-4</v>
      </c>
      <c r="S347" s="12">
        <v>2.0999999999999999E-3</v>
      </c>
      <c r="T347" s="12">
        <v>4.0000000000000002E-4</v>
      </c>
    </row>
    <row r="348" spans="2:20">
      <c r="B348" s="10" t="s">
        <v>646</v>
      </c>
      <c r="C348" s="43" t="s">
        <v>647</v>
      </c>
      <c r="D348" s="10" t="s">
        <v>184</v>
      </c>
      <c r="E348" s="10" t="s">
        <v>521</v>
      </c>
      <c r="F348" s="10"/>
      <c r="G348" s="10" t="s">
        <v>522</v>
      </c>
      <c r="H348" s="10" t="s">
        <v>639</v>
      </c>
      <c r="I348" s="10" t="s">
        <v>551</v>
      </c>
      <c r="J348" s="10"/>
      <c r="K348" s="43">
        <v>5.52</v>
      </c>
      <c r="L348" s="10" t="s">
        <v>43</v>
      </c>
      <c r="M348" s="44">
        <v>4.5629999999999997E-2</v>
      </c>
      <c r="N348" s="12">
        <v>4.4299999999999999E-2</v>
      </c>
      <c r="O348" s="11">
        <v>708000</v>
      </c>
      <c r="P348" s="11">
        <v>101.83</v>
      </c>
      <c r="Q348" s="11">
        <v>2771.27</v>
      </c>
      <c r="R348" s="12">
        <v>5.0000000000000001E-4</v>
      </c>
      <c r="S348" s="12">
        <v>3.5999999999999999E-3</v>
      </c>
      <c r="T348" s="12">
        <v>6.9999999999999999E-4</v>
      </c>
    </row>
    <row r="349" spans="2:20">
      <c r="B349" s="10" t="s">
        <v>648</v>
      </c>
      <c r="C349" s="43" t="s">
        <v>649</v>
      </c>
      <c r="D349" s="10" t="s">
        <v>180</v>
      </c>
      <c r="E349" s="10" t="s">
        <v>521</v>
      </c>
      <c r="F349" s="10"/>
      <c r="G349" s="10" t="s">
        <v>571</v>
      </c>
      <c r="H349" s="10" t="s">
        <v>639</v>
      </c>
      <c r="I349" s="10" t="s">
        <v>551</v>
      </c>
      <c r="J349" s="10"/>
      <c r="K349" s="43">
        <v>5.1100000000000003</v>
      </c>
      <c r="L349" s="10" t="s">
        <v>43</v>
      </c>
      <c r="M349" s="44">
        <v>7.3749999999999996E-2</v>
      </c>
      <c r="N349" s="12">
        <v>5.4600000000000003E-2</v>
      </c>
      <c r="O349" s="11">
        <v>770000</v>
      </c>
      <c r="P349" s="11">
        <v>112.2</v>
      </c>
      <c r="Q349" s="11">
        <v>3321.01</v>
      </c>
      <c r="R349" s="12">
        <v>4.0000000000000002E-4</v>
      </c>
      <c r="S349" s="12">
        <v>4.3E-3</v>
      </c>
      <c r="T349" s="12">
        <v>8.9999999999999998E-4</v>
      </c>
    </row>
    <row r="350" spans="2:20">
      <c r="B350" s="10" t="s">
        <v>650</v>
      </c>
      <c r="C350" s="43" t="s">
        <v>651</v>
      </c>
      <c r="D350" s="10" t="s">
        <v>180</v>
      </c>
      <c r="E350" s="10" t="s">
        <v>521</v>
      </c>
      <c r="F350" s="10"/>
      <c r="G350" s="10" t="s">
        <v>527</v>
      </c>
      <c r="H350" s="10" t="s">
        <v>652</v>
      </c>
      <c r="I350" s="10" t="s">
        <v>551</v>
      </c>
      <c r="J350" s="10"/>
      <c r="K350" s="43">
        <v>6.45</v>
      </c>
      <c r="L350" s="10" t="s">
        <v>43</v>
      </c>
      <c r="M350" s="44">
        <v>5.1249999999999997E-2</v>
      </c>
      <c r="N350" s="12">
        <v>4.5900000000000003E-2</v>
      </c>
      <c r="O350" s="11">
        <v>414000</v>
      </c>
      <c r="P350" s="11">
        <v>105.02</v>
      </c>
      <c r="Q350" s="11">
        <v>1671.33</v>
      </c>
      <c r="R350" s="12">
        <v>2.9999999999999997E-4</v>
      </c>
      <c r="S350" s="12">
        <v>2.2000000000000001E-3</v>
      </c>
      <c r="T350" s="12">
        <v>4.0000000000000002E-4</v>
      </c>
    </row>
    <row r="351" spans="2:20">
      <c r="B351" s="10" t="s">
        <v>653</v>
      </c>
      <c r="C351" s="43" t="s">
        <v>654</v>
      </c>
      <c r="D351" s="10" t="s">
        <v>619</v>
      </c>
      <c r="E351" s="10" t="s">
        <v>521</v>
      </c>
      <c r="F351" s="10"/>
      <c r="G351" s="10" t="s">
        <v>527</v>
      </c>
      <c r="H351" s="10" t="s">
        <v>652</v>
      </c>
      <c r="I351" s="10" t="s">
        <v>118</v>
      </c>
      <c r="J351" s="10"/>
      <c r="K351" s="43">
        <v>1.83</v>
      </c>
      <c r="L351" s="10" t="s">
        <v>53</v>
      </c>
      <c r="M351" s="44">
        <v>5.7500000000000002E-2</v>
      </c>
      <c r="N351" s="12">
        <v>4.41E-2</v>
      </c>
      <c r="O351" s="11">
        <v>1780000</v>
      </c>
      <c r="P351" s="11">
        <v>103.03</v>
      </c>
      <c r="Q351" s="11">
        <v>5082.97</v>
      </c>
      <c r="R351" s="12">
        <v>3.5999999999999999E-3</v>
      </c>
      <c r="S351" s="12">
        <v>6.6E-3</v>
      </c>
      <c r="T351" s="12">
        <v>1.2999999999999999E-3</v>
      </c>
    </row>
    <row r="352" spans="2:20">
      <c r="B352" s="10" t="s">
        <v>655</v>
      </c>
      <c r="C352" s="43" t="s">
        <v>656</v>
      </c>
      <c r="D352" s="10" t="s">
        <v>184</v>
      </c>
      <c r="E352" s="10" t="s">
        <v>521</v>
      </c>
      <c r="F352" s="10"/>
      <c r="G352" s="10" t="s">
        <v>530</v>
      </c>
      <c r="H352" s="10" t="s">
        <v>652</v>
      </c>
      <c r="I352" s="10" t="s">
        <v>118</v>
      </c>
      <c r="J352" s="10"/>
      <c r="K352" s="43">
        <v>5.15</v>
      </c>
      <c r="L352" s="10" t="s">
        <v>43</v>
      </c>
      <c r="M352" s="44">
        <v>5.2499999999999998E-2</v>
      </c>
      <c r="N352" s="12">
        <v>6.3399999999999998E-2</v>
      </c>
      <c r="O352" s="11">
        <v>828000</v>
      </c>
      <c r="P352" s="11">
        <v>97.2</v>
      </c>
      <c r="Q352" s="11">
        <v>3093.84</v>
      </c>
      <c r="R352" s="12">
        <v>2.9999999999999997E-4</v>
      </c>
      <c r="S352" s="12">
        <v>4.0000000000000001E-3</v>
      </c>
      <c r="T352" s="12">
        <v>8.0000000000000004E-4</v>
      </c>
    </row>
    <row r="353" spans="2:20">
      <c r="B353" s="10" t="s">
        <v>657</v>
      </c>
      <c r="C353" s="43" t="s">
        <v>658</v>
      </c>
      <c r="D353" s="10" t="s">
        <v>184</v>
      </c>
      <c r="E353" s="10" t="s">
        <v>521</v>
      </c>
      <c r="F353" s="10"/>
      <c r="G353" s="10" t="s">
        <v>659</v>
      </c>
      <c r="H353" s="10" t="s">
        <v>660</v>
      </c>
      <c r="I353" s="10" t="s">
        <v>118</v>
      </c>
      <c r="J353" s="10"/>
      <c r="K353" s="43">
        <v>11.03</v>
      </c>
      <c r="L353" s="10" t="s">
        <v>43</v>
      </c>
      <c r="M353" s="44">
        <v>8.7499999999999994E-2</v>
      </c>
      <c r="N353" s="12">
        <v>8.7499999999999994E-2</v>
      </c>
      <c r="O353" s="11">
        <v>57000</v>
      </c>
      <c r="P353" s="11">
        <v>105.13</v>
      </c>
      <c r="Q353" s="11">
        <v>230.36</v>
      </c>
      <c r="R353" s="12">
        <v>2.0000000000000001E-4</v>
      </c>
      <c r="S353" s="12">
        <v>2.9999999999999997E-4</v>
      </c>
      <c r="T353" s="12">
        <v>1E-4</v>
      </c>
    </row>
    <row r="354" spans="2:20">
      <c r="B354" s="10" t="s">
        <v>661</v>
      </c>
      <c r="C354" s="43" t="s">
        <v>662</v>
      </c>
      <c r="D354" s="10" t="s">
        <v>180</v>
      </c>
      <c r="E354" s="10" t="s">
        <v>521</v>
      </c>
      <c r="F354" s="10"/>
      <c r="G354" s="10" t="s">
        <v>663</v>
      </c>
      <c r="H354" s="10" t="s">
        <v>664</v>
      </c>
      <c r="I354" s="10" t="s">
        <v>551</v>
      </c>
      <c r="J354" s="10"/>
      <c r="K354" s="43">
        <v>6.44</v>
      </c>
      <c r="L354" s="10" t="s">
        <v>43</v>
      </c>
      <c r="M354" s="44">
        <v>5.7500000000000002E-2</v>
      </c>
      <c r="N354" s="12">
        <v>5.04E-2</v>
      </c>
      <c r="O354" s="11">
        <v>788000</v>
      </c>
      <c r="P354" s="11">
        <v>105.65</v>
      </c>
      <c r="Q354" s="11">
        <v>3200.12</v>
      </c>
      <c r="R354" s="12">
        <v>8.9999999999999998E-4</v>
      </c>
      <c r="S354" s="12">
        <v>4.1999999999999997E-3</v>
      </c>
      <c r="T354" s="12">
        <v>8.0000000000000004E-4</v>
      </c>
    </row>
    <row r="357" spans="2:20">
      <c r="B357" s="3" t="s">
        <v>121</v>
      </c>
      <c r="C357" s="5"/>
      <c r="D357" s="3"/>
      <c r="E357" s="3"/>
      <c r="F357" s="3"/>
      <c r="G357" s="3"/>
      <c r="H357" s="3"/>
      <c r="I357" s="3"/>
      <c r="J357" s="3"/>
      <c r="L357" s="3"/>
    </row>
    <row r="361" spans="2:20">
      <c r="B361" s="2" t="s">
        <v>76</v>
      </c>
    </row>
  </sheetData>
  <mergeCells count="4">
    <mergeCell ref="B6:L6"/>
    <mergeCell ref="M6:T6"/>
    <mergeCell ref="B9:L9"/>
    <mergeCell ref="M9:T9"/>
  </mergeCell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6"/>
  <sheetViews>
    <sheetView rightToLeft="1" zoomScale="90" zoomScaleNormal="90" workbookViewId="0">
      <selection activeCell="C210" sqref="C210"/>
    </sheetView>
  </sheetViews>
  <sheetFormatPr defaultColWidth="9.140625" defaultRowHeight="12.75"/>
  <cols>
    <col min="1" max="1" width="0.85546875" customWidth="1"/>
    <col min="2" max="2" width="38.7109375" customWidth="1"/>
    <col min="3" max="3" width="15.7109375" customWidth="1"/>
    <col min="4" max="4" width="12.7109375" customWidth="1"/>
    <col min="5" max="5" width="7.28515625" customWidth="1"/>
    <col min="6" max="6" width="13.7109375" customWidth="1"/>
    <col min="7" max="7" width="22" customWidth="1"/>
    <col min="8" max="8" width="15.7109375" customWidth="1"/>
    <col min="9" max="9" width="16.7109375" customWidth="1"/>
    <col min="10" max="10" width="12.7109375" customWidth="1"/>
    <col min="11" max="11" width="13.7109375" customWidth="1"/>
    <col min="12" max="12" width="24.7109375" customWidth="1"/>
    <col min="13" max="13" width="27.7109375" customWidth="1"/>
    <col min="14" max="14" width="20.7109375" customWidth="1"/>
  </cols>
  <sheetData>
    <row r="1" spans="2:14">
      <c r="B1" s="15" t="s">
        <v>1490</v>
      </c>
    </row>
    <row r="2" spans="2:14">
      <c r="B2" s="15" t="s">
        <v>1489</v>
      </c>
    </row>
    <row r="3" spans="2:14">
      <c r="B3" s="15" t="s">
        <v>2</v>
      </c>
    </row>
    <row r="4" spans="2:14">
      <c r="B4" s="15" t="s">
        <v>3</v>
      </c>
    </row>
    <row r="6" spans="2:14">
      <c r="B6" s="113" t="s">
        <v>122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4">
      <c r="B7" s="49" t="s">
        <v>665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2:14">
      <c r="B8" s="49" t="s">
        <v>78</v>
      </c>
      <c r="C8" s="49" t="s">
        <v>79</v>
      </c>
      <c r="D8" s="49" t="s">
        <v>124</v>
      </c>
      <c r="E8" s="49" t="s">
        <v>204</v>
      </c>
      <c r="F8" s="49" t="s">
        <v>80</v>
      </c>
      <c r="G8" s="49" t="s">
        <v>205</v>
      </c>
      <c r="H8" s="49" t="s">
        <v>83</v>
      </c>
      <c r="I8" s="49" t="s">
        <v>127</v>
      </c>
      <c r="J8" s="49" t="s">
        <v>42</v>
      </c>
      <c r="K8" s="49" t="s">
        <v>86</v>
      </c>
      <c r="L8" s="49" t="s">
        <v>128</v>
      </c>
      <c r="M8" s="49" t="s">
        <v>129</v>
      </c>
      <c r="N8" s="49" t="s">
        <v>88</v>
      </c>
    </row>
    <row r="9" spans="2:14">
      <c r="B9" s="113"/>
      <c r="C9" s="113"/>
      <c r="D9" s="113"/>
      <c r="E9" s="113"/>
      <c r="F9" s="113"/>
      <c r="G9" s="113"/>
      <c r="H9" s="113"/>
      <c r="I9" s="113" t="s">
        <v>132</v>
      </c>
      <c r="J9" s="113" t="s">
        <v>133</v>
      </c>
      <c r="K9" s="113" t="s">
        <v>90</v>
      </c>
      <c r="L9" s="113" t="s">
        <v>89</v>
      </c>
      <c r="M9" s="113" t="s">
        <v>89</v>
      </c>
      <c r="N9" s="113" t="s">
        <v>89</v>
      </c>
    </row>
    <row r="10" spans="2:14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2:14">
      <c r="B11" s="8" t="s">
        <v>666</v>
      </c>
      <c r="C11" s="38"/>
      <c r="D11" s="8"/>
      <c r="E11" s="8"/>
      <c r="F11" s="8"/>
      <c r="G11" s="8"/>
      <c r="H11" s="8"/>
      <c r="I11" s="13">
        <f>I13+I149</f>
        <v>60574745.869999997</v>
      </c>
      <c r="J11" s="13">
        <f t="shared" ref="J11:N11" si="0">J13+J149</f>
        <v>0</v>
      </c>
      <c r="K11" s="13">
        <f t="shared" si="0"/>
        <v>547693.25969999994</v>
      </c>
      <c r="L11" s="13"/>
      <c r="M11" s="53">
        <f t="shared" si="0"/>
        <v>0.99940000000000007</v>
      </c>
      <c r="N11" s="53">
        <f t="shared" si="0"/>
        <v>0.15061212233707588</v>
      </c>
    </row>
    <row r="12" spans="2:14">
      <c r="B12" s="8"/>
      <c r="C12" s="38"/>
      <c r="D12" s="8"/>
      <c r="E12" s="8"/>
      <c r="F12" s="8"/>
      <c r="G12" s="8"/>
      <c r="H12" s="8"/>
      <c r="I12" s="13"/>
      <c r="J12" s="7"/>
      <c r="K12" s="13"/>
      <c r="L12" s="7"/>
      <c r="M12" s="14"/>
      <c r="N12" s="14"/>
    </row>
    <row r="13" spans="2:14">
      <c r="B13" s="8" t="s">
        <v>667</v>
      </c>
      <c r="C13" s="38"/>
      <c r="D13" s="8"/>
      <c r="E13" s="8"/>
      <c r="F13" s="8"/>
      <c r="G13" s="8"/>
      <c r="H13" s="8"/>
      <c r="I13" s="13">
        <f>I15+I42+I96</f>
        <v>60111499.829999998</v>
      </c>
      <c r="J13" s="13"/>
      <c r="K13" s="13">
        <f t="shared" ref="K13:N13" si="1">K15+K42+K96</f>
        <v>523982.91</v>
      </c>
      <c r="L13" s="13"/>
      <c r="M13" s="53">
        <f t="shared" si="1"/>
        <v>0.95530000000000004</v>
      </c>
      <c r="N13" s="53">
        <f t="shared" si="1"/>
        <v>0.14409192873157614</v>
      </c>
    </row>
    <row r="14" spans="2:14">
      <c r="B14" s="8"/>
      <c r="C14" s="38"/>
      <c r="D14" s="8"/>
      <c r="E14" s="8"/>
      <c r="F14" s="8"/>
      <c r="G14" s="8"/>
      <c r="H14" s="8"/>
      <c r="I14" s="13"/>
      <c r="J14" s="7"/>
      <c r="K14" s="13"/>
      <c r="L14" s="7"/>
      <c r="M14" s="14"/>
      <c r="N14" s="14"/>
    </row>
    <row r="15" spans="2:14">
      <c r="B15" s="39" t="s">
        <v>668</v>
      </c>
      <c r="C15" s="40"/>
      <c r="D15" s="39"/>
      <c r="E15" s="39"/>
      <c r="F15" s="39"/>
      <c r="G15" s="39"/>
      <c r="H15" s="39"/>
      <c r="I15" s="42">
        <f>SUM(I16:I40)</f>
        <v>27807527.669999998</v>
      </c>
      <c r="J15" s="42"/>
      <c r="K15" s="42">
        <f t="shared" ref="K15:N15" si="2">SUM(K16:K40)</f>
        <v>305430.71999999997</v>
      </c>
      <c r="L15" s="42"/>
      <c r="M15" s="50">
        <f t="shared" si="2"/>
        <v>0.55670000000000008</v>
      </c>
      <c r="N15" s="50">
        <f t="shared" si="2"/>
        <v>8.3991482734950246E-2</v>
      </c>
    </row>
    <row r="16" spans="2:14">
      <c r="B16" s="10" t="s">
        <v>669</v>
      </c>
      <c r="C16" s="43">
        <v>593038</v>
      </c>
      <c r="D16" s="10" t="s">
        <v>138</v>
      </c>
      <c r="E16" s="10"/>
      <c r="F16" s="10">
        <v>593</v>
      </c>
      <c r="G16" s="10" t="s">
        <v>220</v>
      </c>
      <c r="H16" s="10" t="s">
        <v>96</v>
      </c>
      <c r="I16" s="11">
        <v>66875</v>
      </c>
      <c r="J16" s="11">
        <v>5650</v>
      </c>
      <c r="K16" s="11">
        <v>3778.44</v>
      </c>
      <c r="L16" s="12">
        <v>6.9999999999999999E-4</v>
      </c>
      <c r="M16" s="12">
        <v>6.8999999999999999E-3</v>
      </c>
      <c r="N16" s="12">
        <f>K16/'סכום נכסי הקרן'!$C$42</f>
        <v>1.0390466879855616E-3</v>
      </c>
    </row>
    <row r="17" spans="2:14">
      <c r="B17" s="10" t="s">
        <v>670</v>
      </c>
      <c r="C17" s="43">
        <v>691212</v>
      </c>
      <c r="D17" s="10" t="s">
        <v>138</v>
      </c>
      <c r="E17" s="10"/>
      <c r="F17" s="10">
        <v>691</v>
      </c>
      <c r="G17" s="10" t="s">
        <v>220</v>
      </c>
      <c r="H17" s="10" t="s">
        <v>96</v>
      </c>
      <c r="I17" s="11">
        <v>1720960</v>
      </c>
      <c r="J17" s="11">
        <v>800.9</v>
      </c>
      <c r="K17" s="11">
        <v>13783.17</v>
      </c>
      <c r="L17" s="12">
        <v>1.5E-3</v>
      </c>
      <c r="M17" s="12">
        <f>2.51%-0.0002</f>
        <v>2.4899999999999999E-2</v>
      </c>
      <c r="N17" s="12">
        <f>K17/'סכום נכסי הקרן'!$C$42</f>
        <v>3.7902830634976219E-3</v>
      </c>
    </row>
    <row r="18" spans="2:14">
      <c r="B18" s="10" t="s">
        <v>671</v>
      </c>
      <c r="C18" s="43">
        <v>604611</v>
      </c>
      <c r="D18" s="10" t="s">
        <v>138</v>
      </c>
      <c r="E18" s="10"/>
      <c r="F18" s="10">
        <v>604</v>
      </c>
      <c r="G18" s="10" t="s">
        <v>220</v>
      </c>
      <c r="H18" s="10" t="s">
        <v>96</v>
      </c>
      <c r="I18" s="11">
        <v>2117935</v>
      </c>
      <c r="J18" s="11">
        <v>1586</v>
      </c>
      <c r="K18" s="11">
        <v>33590.449999999997</v>
      </c>
      <c r="L18" s="12">
        <v>1.4E-3</v>
      </c>
      <c r="M18" s="12">
        <v>6.1199999999999997E-2</v>
      </c>
      <c r="N18" s="12">
        <f>K18/'סכום נכסי הקרן'!$C$42</f>
        <v>9.2371576154298089E-3</v>
      </c>
    </row>
    <row r="19" spans="2:14">
      <c r="B19" s="10" t="s">
        <v>672</v>
      </c>
      <c r="C19" s="43">
        <v>695437</v>
      </c>
      <c r="D19" s="10" t="s">
        <v>138</v>
      </c>
      <c r="E19" s="10"/>
      <c r="F19" s="10">
        <v>695</v>
      </c>
      <c r="G19" s="10" t="s">
        <v>220</v>
      </c>
      <c r="H19" s="10" t="s">
        <v>96</v>
      </c>
      <c r="I19" s="11">
        <v>160351</v>
      </c>
      <c r="J19" s="11">
        <v>5635</v>
      </c>
      <c r="K19" s="11">
        <v>9035.7800000000007</v>
      </c>
      <c r="L19" s="12">
        <v>6.9999999999999999E-4</v>
      </c>
      <c r="M19" s="12">
        <v>1.6500000000000001E-2</v>
      </c>
      <c r="N19" s="12">
        <f>K19/'סכום נכסי הקרן'!$C$42</f>
        <v>2.4847813601290951E-3</v>
      </c>
    </row>
    <row r="20" spans="2:14">
      <c r="B20" s="10" t="s">
        <v>673</v>
      </c>
      <c r="C20" s="43">
        <v>662577</v>
      </c>
      <c r="D20" s="10" t="s">
        <v>138</v>
      </c>
      <c r="E20" s="10"/>
      <c r="F20" s="10">
        <v>662</v>
      </c>
      <c r="G20" s="10" t="s">
        <v>220</v>
      </c>
      <c r="H20" s="10" t="s">
        <v>96</v>
      </c>
      <c r="I20" s="11">
        <v>1462477</v>
      </c>
      <c r="J20" s="11">
        <v>2291</v>
      </c>
      <c r="K20" s="11">
        <v>33505.35</v>
      </c>
      <c r="L20" s="12">
        <v>1.1000000000000001E-3</v>
      </c>
      <c r="M20" s="12">
        <v>6.1100000000000002E-2</v>
      </c>
      <c r="N20" s="12">
        <f>K20/'סכום נכסי הקרן'!$C$42</f>
        <v>9.2137556629977024E-3</v>
      </c>
    </row>
    <row r="21" spans="2:14">
      <c r="B21" s="10" t="s">
        <v>674</v>
      </c>
      <c r="C21" s="43">
        <v>126011</v>
      </c>
      <c r="D21" s="10" t="s">
        <v>138</v>
      </c>
      <c r="E21" s="10"/>
      <c r="F21" s="10">
        <v>126</v>
      </c>
      <c r="G21" s="10" t="s">
        <v>239</v>
      </c>
      <c r="H21" s="10" t="s">
        <v>96</v>
      </c>
      <c r="I21" s="11">
        <v>154320.95999999999</v>
      </c>
      <c r="J21" s="11">
        <v>3283</v>
      </c>
      <c r="K21" s="11">
        <v>5066.3599999999997</v>
      </c>
      <c r="L21" s="12">
        <v>8.0000000000000004E-4</v>
      </c>
      <c r="M21" s="12">
        <v>9.1999999999999998E-3</v>
      </c>
      <c r="N21" s="12">
        <f>K21/'סכום נכסי הקרן'!$C$42</f>
        <v>1.3932164009862614E-3</v>
      </c>
    </row>
    <row r="22" spans="2:14">
      <c r="B22" s="10" t="s">
        <v>675</v>
      </c>
      <c r="C22" s="43">
        <v>323014</v>
      </c>
      <c r="D22" s="10" t="s">
        <v>138</v>
      </c>
      <c r="E22" s="10"/>
      <c r="F22" s="10">
        <v>323</v>
      </c>
      <c r="G22" s="10" t="s">
        <v>239</v>
      </c>
      <c r="H22" s="10" t="s">
        <v>96</v>
      </c>
      <c r="I22" s="11">
        <v>13793.25</v>
      </c>
      <c r="J22" s="11">
        <v>16400</v>
      </c>
      <c r="K22" s="11">
        <v>2262.09</v>
      </c>
      <c r="L22" s="12">
        <v>2.9999999999999997E-4</v>
      </c>
      <c r="M22" s="12">
        <v>4.1000000000000003E-3</v>
      </c>
      <c r="N22" s="12">
        <f>K22/'סכום נכסי הקרן'!$C$42</f>
        <v>6.2206019479606905E-4</v>
      </c>
    </row>
    <row r="23" spans="2:14">
      <c r="B23" s="10" t="s">
        <v>676</v>
      </c>
      <c r="C23" s="43">
        <v>1119478</v>
      </c>
      <c r="D23" s="10" t="s">
        <v>138</v>
      </c>
      <c r="E23" s="10"/>
      <c r="F23" s="10">
        <v>1420</v>
      </c>
      <c r="G23" s="10" t="s">
        <v>239</v>
      </c>
      <c r="H23" s="10" t="s">
        <v>96</v>
      </c>
      <c r="I23" s="11">
        <v>56798</v>
      </c>
      <c r="J23" s="11">
        <v>16710</v>
      </c>
      <c r="K23" s="11">
        <v>9490.9500000000007</v>
      </c>
      <c r="L23" s="12">
        <v>5.0000000000000001E-4</v>
      </c>
      <c r="M23" s="12">
        <v>1.7299999999999999E-2</v>
      </c>
      <c r="N23" s="12">
        <f>K23/'סכום נכסי הקרן'!$C$42</f>
        <v>2.6099501813808255E-3</v>
      </c>
    </row>
    <row r="24" spans="2:14">
      <c r="B24" s="10" t="s">
        <v>677</v>
      </c>
      <c r="C24" s="43">
        <v>1081082</v>
      </c>
      <c r="D24" s="10" t="s">
        <v>138</v>
      </c>
      <c r="E24" s="10"/>
      <c r="F24" s="10">
        <v>1037</v>
      </c>
      <c r="G24" s="10" t="s">
        <v>269</v>
      </c>
      <c r="H24" s="10" t="s">
        <v>96</v>
      </c>
      <c r="I24" s="11">
        <v>52889</v>
      </c>
      <c r="J24" s="11">
        <v>19710</v>
      </c>
      <c r="K24" s="11">
        <v>10424.42</v>
      </c>
      <c r="L24" s="12">
        <v>8.9999999999999998E-4</v>
      </c>
      <c r="M24" s="12">
        <v>1.9E-2</v>
      </c>
      <c r="N24" s="12">
        <f>K24/'סכום נכסי הקרן'!$C$42</f>
        <v>2.8666484250564912E-3</v>
      </c>
    </row>
    <row r="25" spans="2:14">
      <c r="B25" s="10" t="s">
        <v>678</v>
      </c>
      <c r="C25" s="43">
        <v>746016</v>
      </c>
      <c r="D25" s="10" t="s">
        <v>138</v>
      </c>
      <c r="E25" s="10"/>
      <c r="F25" s="10">
        <v>746</v>
      </c>
      <c r="G25" s="10" t="s">
        <v>269</v>
      </c>
      <c r="H25" s="10" t="s">
        <v>96</v>
      </c>
      <c r="I25" s="11">
        <v>31129.119999999999</v>
      </c>
      <c r="J25" s="11">
        <v>6094</v>
      </c>
      <c r="K25" s="11">
        <v>1897.01</v>
      </c>
      <c r="L25" s="12">
        <v>2.9999999999999997E-4</v>
      </c>
      <c r="M25" s="12">
        <v>3.5000000000000001E-3</v>
      </c>
      <c r="N25" s="12">
        <f>K25/'סכום נכסי הקרן'!$C$42</f>
        <v>5.2166554386876333E-4</v>
      </c>
    </row>
    <row r="26" spans="2:14">
      <c r="B26" s="10" t="s">
        <v>679</v>
      </c>
      <c r="C26" s="43">
        <v>1081124</v>
      </c>
      <c r="D26" s="10" t="s">
        <v>138</v>
      </c>
      <c r="E26" s="10"/>
      <c r="F26" s="10">
        <v>1040</v>
      </c>
      <c r="G26" s="10" t="s">
        <v>403</v>
      </c>
      <c r="H26" s="10" t="s">
        <v>96</v>
      </c>
      <c r="I26" s="11">
        <v>31395</v>
      </c>
      <c r="J26" s="11">
        <v>39000</v>
      </c>
      <c r="K26" s="11">
        <v>12244.05</v>
      </c>
      <c r="L26" s="12">
        <v>6.9999999999999999E-4</v>
      </c>
      <c r="M26" s="12">
        <v>2.23E-2</v>
      </c>
      <c r="N26" s="12">
        <f>K26/'סכום נכסי הקרן'!$C$42</f>
        <v>3.3670349668195381E-3</v>
      </c>
    </row>
    <row r="27" spans="2:14">
      <c r="B27" s="10" t="s">
        <v>680</v>
      </c>
      <c r="C27" s="43">
        <v>273011</v>
      </c>
      <c r="D27" s="10" t="s">
        <v>138</v>
      </c>
      <c r="E27" s="10"/>
      <c r="F27" s="10">
        <v>273</v>
      </c>
      <c r="G27" s="10" t="s">
        <v>403</v>
      </c>
      <c r="H27" s="10" t="s">
        <v>96</v>
      </c>
      <c r="I27" s="11">
        <v>72787</v>
      </c>
      <c r="J27" s="11">
        <v>26260</v>
      </c>
      <c r="K27" s="11">
        <v>19113.87</v>
      </c>
      <c r="L27" s="12">
        <v>1E-3</v>
      </c>
      <c r="M27" s="12">
        <v>3.4799999999999998E-2</v>
      </c>
      <c r="N27" s="12">
        <f>K27/'סכום נכסי הקרן'!$C$42</f>
        <v>5.2561912636131802E-3</v>
      </c>
    </row>
    <row r="28" spans="2:14">
      <c r="B28" s="10" t="s">
        <v>681</v>
      </c>
      <c r="C28" s="43">
        <v>629014</v>
      </c>
      <c r="D28" s="10" t="s">
        <v>138</v>
      </c>
      <c r="E28" s="10"/>
      <c r="F28" s="10">
        <v>629</v>
      </c>
      <c r="G28" s="10" t="s">
        <v>273</v>
      </c>
      <c r="H28" s="10" t="s">
        <v>96</v>
      </c>
      <c r="I28" s="11">
        <v>185636</v>
      </c>
      <c r="J28" s="11">
        <v>13830</v>
      </c>
      <c r="K28" s="11">
        <v>25673.46</v>
      </c>
      <c r="L28" s="12">
        <v>2.0000000000000001E-4</v>
      </c>
      <c r="M28" s="12">
        <v>4.6800000000000001E-2</v>
      </c>
      <c r="N28" s="12">
        <f>K28/'סכום נכסי הקרן'!$C$42</f>
        <v>7.0600363065523855E-3</v>
      </c>
    </row>
    <row r="29" spans="2:14">
      <c r="B29" s="10" t="s">
        <v>682</v>
      </c>
      <c r="C29" s="43">
        <v>281014</v>
      </c>
      <c r="D29" s="10" t="s">
        <v>138</v>
      </c>
      <c r="E29" s="10"/>
      <c r="F29" s="10">
        <v>281</v>
      </c>
      <c r="G29" s="10" t="s">
        <v>273</v>
      </c>
      <c r="H29" s="10" t="s">
        <v>96</v>
      </c>
      <c r="I29" s="11">
        <v>696699.06</v>
      </c>
      <c r="J29" s="11">
        <v>1580</v>
      </c>
      <c r="K29" s="11">
        <v>11007.85</v>
      </c>
      <c r="L29" s="12">
        <v>5.0000000000000001E-4</v>
      </c>
      <c r="M29" s="12">
        <v>2.01E-2</v>
      </c>
      <c r="N29" s="12">
        <f>K29/'סכום נכסי הקרן'!$C$42</f>
        <v>3.0270879210313952E-3</v>
      </c>
    </row>
    <row r="30" spans="2:14">
      <c r="B30" s="10" t="s">
        <v>683</v>
      </c>
      <c r="C30" s="43">
        <v>1136704</v>
      </c>
      <c r="D30" s="10" t="s">
        <v>138</v>
      </c>
      <c r="E30" s="10"/>
      <c r="F30" s="10">
        <v>1655</v>
      </c>
      <c r="G30" s="10" t="s">
        <v>273</v>
      </c>
      <c r="H30" s="10" t="s">
        <v>96</v>
      </c>
      <c r="I30" s="11">
        <v>88706</v>
      </c>
      <c r="J30" s="11">
        <v>14560</v>
      </c>
      <c r="K30" s="11">
        <v>12915.59</v>
      </c>
      <c r="L30" s="12">
        <v>2.0000000000000001E-4</v>
      </c>
      <c r="M30" s="12">
        <v>2.35E-2</v>
      </c>
      <c r="N30" s="12">
        <f>K30/'סכום נכסי הקרן'!$C$42</f>
        <v>3.5517041458589895E-3</v>
      </c>
    </row>
    <row r="31" spans="2:14">
      <c r="B31" s="10" t="s">
        <v>684</v>
      </c>
      <c r="C31" s="43">
        <v>1130699</v>
      </c>
      <c r="D31" s="10" t="s">
        <v>138</v>
      </c>
      <c r="E31" s="10"/>
      <c r="F31" s="10">
        <v>1612</v>
      </c>
      <c r="G31" s="10" t="s">
        <v>273</v>
      </c>
      <c r="H31" s="10" t="s">
        <v>96</v>
      </c>
      <c r="I31" s="11">
        <v>77357</v>
      </c>
      <c r="J31" s="11">
        <v>31930</v>
      </c>
      <c r="K31" s="11">
        <v>24700.09</v>
      </c>
      <c r="L31" s="12">
        <v>5.9999999999999995E-4</v>
      </c>
      <c r="M31" s="12">
        <v>4.4999999999999998E-2</v>
      </c>
      <c r="N31" s="12">
        <f>K31/'סכום נכסי הקרן'!$C$42</f>
        <v>6.792365819609493E-3</v>
      </c>
    </row>
    <row r="32" spans="2:14">
      <c r="B32" s="10" t="s">
        <v>685</v>
      </c>
      <c r="C32" s="43">
        <v>1084128</v>
      </c>
      <c r="D32" s="10" t="s">
        <v>138</v>
      </c>
      <c r="E32" s="10"/>
      <c r="F32" s="10">
        <v>1095</v>
      </c>
      <c r="G32" s="10" t="s">
        <v>307</v>
      </c>
      <c r="H32" s="10" t="s">
        <v>96</v>
      </c>
      <c r="I32" s="11">
        <v>9098</v>
      </c>
      <c r="J32" s="11">
        <v>82310</v>
      </c>
      <c r="K32" s="11">
        <v>7488.56</v>
      </c>
      <c r="L32" s="12">
        <v>8.0000000000000004E-4</v>
      </c>
      <c r="M32" s="12">
        <v>1.37E-2</v>
      </c>
      <c r="N32" s="12">
        <f>K32/'סכום נכסי הקרן'!$C$42</f>
        <v>2.0593058155696947E-3</v>
      </c>
    </row>
    <row r="33" spans="2:14">
      <c r="B33" s="10" t="s">
        <v>686</v>
      </c>
      <c r="C33" s="43">
        <v>576017</v>
      </c>
      <c r="D33" s="10" t="s">
        <v>138</v>
      </c>
      <c r="E33" s="10"/>
      <c r="F33" s="10">
        <v>576</v>
      </c>
      <c r="G33" s="10" t="s">
        <v>307</v>
      </c>
      <c r="H33" s="10" t="s">
        <v>96</v>
      </c>
      <c r="I33" s="11">
        <v>6738.75</v>
      </c>
      <c r="J33" s="11">
        <v>64000</v>
      </c>
      <c r="K33" s="11">
        <v>4312.8</v>
      </c>
      <c r="L33" s="12">
        <v>8.9999999999999998E-4</v>
      </c>
      <c r="M33" s="12">
        <v>7.9000000000000008E-3</v>
      </c>
      <c r="N33" s="12">
        <f>K33/'סכום נכסי הקרן'!$C$42</f>
        <v>1.1859922496967347E-3</v>
      </c>
    </row>
    <row r="34" spans="2:14">
      <c r="B34" s="10" t="s">
        <v>687</v>
      </c>
      <c r="C34" s="43">
        <v>1100007</v>
      </c>
      <c r="D34" s="10" t="s">
        <v>138</v>
      </c>
      <c r="E34" s="10"/>
      <c r="F34" s="10">
        <v>1363</v>
      </c>
      <c r="G34" s="10" t="s">
        <v>307</v>
      </c>
      <c r="H34" s="10" t="s">
        <v>96</v>
      </c>
      <c r="I34" s="11">
        <v>12672.02</v>
      </c>
      <c r="J34" s="11">
        <v>56500</v>
      </c>
      <c r="K34" s="11">
        <v>7159.69</v>
      </c>
      <c r="L34" s="12">
        <v>1E-3</v>
      </c>
      <c r="M34" s="12">
        <v>1.3100000000000001E-2</v>
      </c>
      <c r="N34" s="12">
        <f>K34/'סכום נכסי הקרן'!$C$42</f>
        <v>1.9688686816525724E-3</v>
      </c>
    </row>
    <row r="35" spans="2:14">
      <c r="B35" s="10" t="s">
        <v>688</v>
      </c>
      <c r="C35" s="43">
        <v>268011</v>
      </c>
      <c r="D35" s="10" t="s">
        <v>138</v>
      </c>
      <c r="E35" s="10"/>
      <c r="F35" s="10">
        <v>268</v>
      </c>
      <c r="G35" s="10" t="s">
        <v>401</v>
      </c>
      <c r="H35" s="10" t="s">
        <v>96</v>
      </c>
      <c r="I35" s="11">
        <v>1877976</v>
      </c>
      <c r="J35" s="11">
        <v>271.5</v>
      </c>
      <c r="K35" s="11">
        <v>5098.7</v>
      </c>
      <c r="L35" s="12">
        <v>5.9999999999999995E-4</v>
      </c>
      <c r="M35" s="12">
        <v>9.2999999999999992E-3</v>
      </c>
      <c r="N35" s="12">
        <f>K35/'סכום נכסי הקרן'!$C$42</f>
        <v>1.4021096928975934E-3</v>
      </c>
    </row>
    <row r="36" spans="2:14">
      <c r="B36" s="10" t="s">
        <v>689</v>
      </c>
      <c r="C36" s="43">
        <v>475020</v>
      </c>
      <c r="D36" s="10" t="s">
        <v>138</v>
      </c>
      <c r="E36" s="10"/>
      <c r="F36" s="10">
        <v>475</v>
      </c>
      <c r="G36" s="10" t="s">
        <v>401</v>
      </c>
      <c r="H36" s="10" t="s">
        <v>96</v>
      </c>
      <c r="I36" s="11">
        <v>306222</v>
      </c>
      <c r="J36" s="11">
        <v>1442</v>
      </c>
      <c r="K36" s="11">
        <v>4415.72</v>
      </c>
      <c r="L36" s="12">
        <v>5.9999999999999995E-4</v>
      </c>
      <c r="M36" s="12">
        <v>8.0999999999999996E-3</v>
      </c>
      <c r="N36" s="12">
        <f>K36/'סכום נכסי הקרן'!$C$42</f>
        <v>1.2142945874677393E-3</v>
      </c>
    </row>
    <row r="37" spans="2:14">
      <c r="B37" s="10" t="s">
        <v>690</v>
      </c>
      <c r="C37" s="43">
        <v>232017</v>
      </c>
      <c r="D37" s="10" t="s">
        <v>138</v>
      </c>
      <c r="E37" s="10"/>
      <c r="F37" s="10">
        <v>232</v>
      </c>
      <c r="G37" s="10" t="s">
        <v>401</v>
      </c>
      <c r="H37" s="10" t="s">
        <v>96</v>
      </c>
      <c r="I37" s="11">
        <v>15379241.810000001</v>
      </c>
      <c r="J37" s="11">
        <v>66</v>
      </c>
      <c r="K37" s="11">
        <v>10150.299999999999</v>
      </c>
      <c r="L37" s="12">
        <v>1.1999999999999999E-3</v>
      </c>
      <c r="M37" s="12">
        <v>1.8499999999999999E-2</v>
      </c>
      <c r="N37" s="12">
        <f>K37/'סכום נכסי הקרן'!$C$42</f>
        <v>2.7912671888556772E-3</v>
      </c>
    </row>
    <row r="38" spans="2:14">
      <c r="B38" s="10" t="s">
        <v>691</v>
      </c>
      <c r="C38" s="43">
        <v>230011</v>
      </c>
      <c r="D38" s="10" t="s">
        <v>138</v>
      </c>
      <c r="E38" s="10"/>
      <c r="F38" s="10">
        <v>230</v>
      </c>
      <c r="G38" s="10" t="s">
        <v>247</v>
      </c>
      <c r="H38" s="10" t="s">
        <v>96</v>
      </c>
      <c r="I38" s="11">
        <v>3009917</v>
      </c>
      <c r="J38" s="11">
        <v>732</v>
      </c>
      <c r="K38" s="11">
        <v>22032.59</v>
      </c>
      <c r="L38" s="12">
        <v>1.1000000000000001E-3</v>
      </c>
      <c r="M38" s="12">
        <v>4.02E-2</v>
      </c>
      <c r="N38" s="12">
        <f>K38/'סכום נכסי הקרן'!$C$42</f>
        <v>6.0588204833856843E-3</v>
      </c>
    </row>
    <row r="39" spans="2:14">
      <c r="B39" s="10" t="s">
        <v>692</v>
      </c>
      <c r="C39" s="43">
        <v>1129543</v>
      </c>
      <c r="D39" s="10" t="s">
        <v>138</v>
      </c>
      <c r="E39" s="10"/>
      <c r="F39" s="10">
        <v>1610</v>
      </c>
      <c r="G39" s="10" t="s">
        <v>184</v>
      </c>
      <c r="H39" s="10" t="s">
        <v>96</v>
      </c>
      <c r="I39" s="11">
        <v>173768.79</v>
      </c>
      <c r="J39" s="11">
        <v>4410</v>
      </c>
      <c r="K39" s="11">
        <v>7663.2</v>
      </c>
      <c r="L39" s="12">
        <v>2.9999999999999997E-4</v>
      </c>
      <c r="M39" s="12">
        <v>1.4E-2</v>
      </c>
      <c r="N39" s="12">
        <f>K39/'סכום נכסי הקרן'!$C$42</f>
        <v>2.1073306918651495E-3</v>
      </c>
    </row>
    <row r="40" spans="2:14">
      <c r="B40" s="10" t="s">
        <v>693</v>
      </c>
      <c r="C40" s="43">
        <v>1134402</v>
      </c>
      <c r="D40" s="10" t="s">
        <v>138</v>
      </c>
      <c r="E40" s="10"/>
      <c r="F40" s="10">
        <v>2250</v>
      </c>
      <c r="G40" s="10" t="s">
        <v>694</v>
      </c>
      <c r="H40" s="10" t="s">
        <v>96</v>
      </c>
      <c r="I40" s="11">
        <v>41784.910000000003</v>
      </c>
      <c r="J40" s="11">
        <v>20630</v>
      </c>
      <c r="K40" s="11">
        <v>8620.23</v>
      </c>
      <c r="L40" s="12">
        <v>8.0000000000000004E-4</v>
      </c>
      <c r="M40" s="12">
        <v>1.5699999999999999E-2</v>
      </c>
      <c r="N40" s="12">
        <f>K40/'סכום נכסי הקרן'!$C$42</f>
        <v>2.3705077839462256E-3</v>
      </c>
    </row>
    <row r="41" spans="2:14">
      <c r="B41" s="10"/>
      <c r="C41" s="43"/>
      <c r="D41" s="10"/>
      <c r="E41" s="10"/>
      <c r="F41" s="10"/>
      <c r="G41" s="10"/>
      <c r="H41" s="10"/>
      <c r="I41" s="11"/>
      <c r="J41" s="11"/>
      <c r="K41" s="11"/>
      <c r="L41" s="12"/>
      <c r="M41" s="12"/>
      <c r="N41" s="12"/>
    </row>
    <row r="42" spans="2:14">
      <c r="B42" s="39" t="s">
        <v>695</v>
      </c>
      <c r="C42" s="40"/>
      <c r="D42" s="39"/>
      <c r="E42" s="39"/>
      <c r="F42" s="39"/>
      <c r="G42" s="39"/>
      <c r="H42" s="39"/>
      <c r="I42" s="42">
        <f>SUM(I43:I94)</f>
        <v>26416727.879999999</v>
      </c>
      <c r="J42" s="42"/>
      <c r="K42" s="42">
        <f t="shared" ref="K42:N42" si="3">SUM(K43:K94)</f>
        <v>143501.96000000002</v>
      </c>
      <c r="L42" s="42"/>
      <c r="M42" s="51">
        <f t="shared" si="3"/>
        <v>0.26179999999999998</v>
      </c>
      <c r="N42" s="51">
        <f t="shared" si="3"/>
        <v>3.9462115650225102E-2</v>
      </c>
    </row>
    <row r="43" spans="2:14">
      <c r="B43" s="10" t="s">
        <v>696</v>
      </c>
      <c r="C43" s="43">
        <v>763011</v>
      </c>
      <c r="D43" s="10" t="s">
        <v>138</v>
      </c>
      <c r="E43" s="10"/>
      <c r="F43" s="10">
        <v>763</v>
      </c>
      <c r="G43" s="10" t="s">
        <v>220</v>
      </c>
      <c r="H43" s="10" t="s">
        <v>96</v>
      </c>
      <c r="I43" s="11">
        <v>78113.990000000005</v>
      </c>
      <c r="J43" s="11">
        <v>6781</v>
      </c>
      <c r="K43" s="11">
        <v>5296.91</v>
      </c>
      <c r="L43" s="12">
        <v>2.2000000000000001E-3</v>
      </c>
      <c r="M43" s="12">
        <v>9.7000000000000003E-3</v>
      </c>
      <c r="N43" s="12">
        <f>K43/'סכום נכסי הקרן'!$C$42</f>
        <v>1.4566161675341148E-3</v>
      </c>
    </row>
    <row r="44" spans="2:14">
      <c r="B44" s="10" t="s">
        <v>697</v>
      </c>
      <c r="C44" s="43">
        <v>1129501</v>
      </c>
      <c r="D44" s="10" t="s">
        <v>138</v>
      </c>
      <c r="E44" s="10"/>
      <c r="F44" s="10">
        <v>1608</v>
      </c>
      <c r="G44" s="10" t="s">
        <v>259</v>
      </c>
      <c r="H44" s="10" t="s">
        <v>96</v>
      </c>
      <c r="I44" s="11">
        <v>6698</v>
      </c>
      <c r="J44" s="11">
        <v>18640</v>
      </c>
      <c r="K44" s="11">
        <v>1248.51</v>
      </c>
      <c r="L44" s="12">
        <v>5.0000000000000001E-4</v>
      </c>
      <c r="M44" s="12">
        <v>2.3E-3</v>
      </c>
      <c r="N44" s="12">
        <f>K44/'סכום נכסי הקרן'!$C$42</f>
        <v>3.4333221658061359E-4</v>
      </c>
    </row>
    <row r="45" spans="2:14">
      <c r="B45" s="10" t="s">
        <v>698</v>
      </c>
      <c r="C45" s="43">
        <v>1083682</v>
      </c>
      <c r="D45" s="10" t="s">
        <v>138</v>
      </c>
      <c r="E45" s="10"/>
      <c r="F45" s="10">
        <v>1089</v>
      </c>
      <c r="G45" s="10" t="s">
        <v>259</v>
      </c>
      <c r="H45" s="10" t="s">
        <v>96</v>
      </c>
      <c r="I45" s="11">
        <v>113366</v>
      </c>
      <c r="J45" s="11">
        <v>3432</v>
      </c>
      <c r="K45" s="11">
        <v>3890.72</v>
      </c>
      <c r="L45" s="12">
        <v>1.6999999999999999E-3</v>
      </c>
      <c r="M45" s="12">
        <v>7.1000000000000004E-3</v>
      </c>
      <c r="N45" s="12">
        <f>K45/'סכום נכסי הקרן'!$C$42</f>
        <v>1.0699229655305321E-3</v>
      </c>
    </row>
    <row r="46" spans="2:14">
      <c r="B46" s="10" t="s">
        <v>699</v>
      </c>
      <c r="C46" s="43">
        <v>585018</v>
      </c>
      <c r="D46" s="10" t="s">
        <v>138</v>
      </c>
      <c r="E46" s="10"/>
      <c r="F46" s="10">
        <v>585</v>
      </c>
      <c r="G46" s="10" t="s">
        <v>259</v>
      </c>
      <c r="H46" s="10" t="s">
        <v>96</v>
      </c>
      <c r="I46" s="11">
        <v>213342</v>
      </c>
      <c r="J46" s="11">
        <v>1770</v>
      </c>
      <c r="K46" s="11">
        <v>3776.15</v>
      </c>
      <c r="L46" s="12">
        <v>1E-3</v>
      </c>
      <c r="M46" s="12">
        <v>6.8999999999999999E-3</v>
      </c>
      <c r="N46" s="12">
        <f>K46/'סכום נכסי הקרן'!$C$42</f>
        <v>1.0384169527203498E-3</v>
      </c>
    </row>
    <row r="47" spans="2:14">
      <c r="B47" s="10" t="s">
        <v>700</v>
      </c>
      <c r="C47" s="43">
        <v>224014</v>
      </c>
      <c r="D47" s="10" t="s">
        <v>138</v>
      </c>
      <c r="E47" s="10"/>
      <c r="F47" s="10">
        <v>224</v>
      </c>
      <c r="G47" s="10" t="s">
        <v>259</v>
      </c>
      <c r="H47" s="10" t="s">
        <v>96</v>
      </c>
      <c r="I47" s="11">
        <v>89304</v>
      </c>
      <c r="J47" s="11">
        <v>4933</v>
      </c>
      <c r="K47" s="11">
        <v>4405.37</v>
      </c>
      <c r="L47" s="12">
        <v>1.6000000000000001E-3</v>
      </c>
      <c r="M47" s="12">
        <v>8.0000000000000002E-3</v>
      </c>
      <c r="N47" s="12">
        <f>K47/'סכום נכסי הקרן'!$C$42</f>
        <v>1.2114484040638342E-3</v>
      </c>
    </row>
    <row r="48" spans="2:14">
      <c r="B48" s="10" t="s">
        <v>701</v>
      </c>
      <c r="C48" s="43">
        <v>1081165</v>
      </c>
      <c r="D48" s="10" t="s">
        <v>138</v>
      </c>
      <c r="E48" s="10"/>
      <c r="F48" s="10">
        <v>1041</v>
      </c>
      <c r="G48" s="10" t="s">
        <v>259</v>
      </c>
      <c r="H48" s="10" t="s">
        <v>96</v>
      </c>
      <c r="I48" s="11">
        <v>1181914</v>
      </c>
      <c r="J48" s="11">
        <v>315</v>
      </c>
      <c r="K48" s="11">
        <v>3723.03</v>
      </c>
      <c r="L48" s="12">
        <v>1.1000000000000001E-3</v>
      </c>
      <c r="M48" s="12">
        <v>6.7999999999999996E-3</v>
      </c>
      <c r="N48" s="12">
        <f>K48/'סכום נכסי הקרן'!$C$42</f>
        <v>1.0238092945159605E-3</v>
      </c>
    </row>
    <row r="49" spans="2:14">
      <c r="B49" s="10" t="s">
        <v>702</v>
      </c>
      <c r="C49" s="43">
        <v>566018</v>
      </c>
      <c r="D49" s="10" t="s">
        <v>138</v>
      </c>
      <c r="E49" s="10"/>
      <c r="F49" s="10">
        <v>566</v>
      </c>
      <c r="G49" s="10" t="s">
        <v>259</v>
      </c>
      <c r="H49" s="10" t="s">
        <v>96</v>
      </c>
      <c r="I49" s="11">
        <v>79442</v>
      </c>
      <c r="J49" s="11">
        <v>3497</v>
      </c>
      <c r="K49" s="11">
        <v>2778.09</v>
      </c>
      <c r="L49" s="12">
        <v>1.2999999999999999E-3</v>
      </c>
      <c r="M49" s="12">
        <v>5.1000000000000004E-3</v>
      </c>
      <c r="N49" s="12">
        <f>K49/'סכום נכסי הקרן'!$C$42</f>
        <v>7.6395687464292383E-4</v>
      </c>
    </row>
    <row r="50" spans="2:14">
      <c r="B50" s="10" t="s">
        <v>703</v>
      </c>
      <c r="C50" s="43">
        <v>767012</v>
      </c>
      <c r="D50" s="10" t="s">
        <v>138</v>
      </c>
      <c r="E50" s="10"/>
      <c r="F50" s="10">
        <v>767</v>
      </c>
      <c r="G50" s="10" t="s">
        <v>259</v>
      </c>
      <c r="H50" s="10" t="s">
        <v>96</v>
      </c>
      <c r="I50" s="11">
        <v>117693</v>
      </c>
      <c r="J50" s="11">
        <v>1335</v>
      </c>
      <c r="K50" s="11">
        <v>1571.2</v>
      </c>
      <c r="L50" s="12">
        <v>5.0000000000000001E-4</v>
      </c>
      <c r="M50" s="12">
        <v>2.8999999999999998E-3</v>
      </c>
      <c r="N50" s="12">
        <f>K50/'סכום נכסי הקרן'!$C$42</f>
        <v>4.3206989026236078E-4</v>
      </c>
    </row>
    <row r="51" spans="2:14">
      <c r="B51" s="10" t="s">
        <v>704</v>
      </c>
      <c r="C51" s="43">
        <v>829010</v>
      </c>
      <c r="D51" s="10" t="s">
        <v>138</v>
      </c>
      <c r="E51" s="10"/>
      <c r="F51" s="10">
        <v>829</v>
      </c>
      <c r="G51" s="10" t="s">
        <v>330</v>
      </c>
      <c r="H51" s="10" t="s">
        <v>96</v>
      </c>
      <c r="I51" s="11">
        <v>57362.16</v>
      </c>
      <c r="J51" s="11">
        <v>3401</v>
      </c>
      <c r="K51" s="11">
        <v>1950.89</v>
      </c>
      <c r="L51" s="12">
        <v>5.9999999999999995E-4</v>
      </c>
      <c r="M51" s="12">
        <v>3.5999999999999999E-3</v>
      </c>
      <c r="N51" s="12">
        <f>K51/'סכום נכסי הקרן'!$C$42</f>
        <v>5.3648219718300475E-4</v>
      </c>
    </row>
    <row r="52" spans="2:14">
      <c r="B52" s="10" t="s">
        <v>705</v>
      </c>
      <c r="C52" s="43">
        <v>1104249</v>
      </c>
      <c r="D52" s="10" t="s">
        <v>138</v>
      </c>
      <c r="E52" s="10"/>
      <c r="F52" s="10">
        <v>1445</v>
      </c>
      <c r="G52" s="10" t="s">
        <v>330</v>
      </c>
      <c r="H52" s="10" t="s">
        <v>96</v>
      </c>
      <c r="I52" s="11">
        <v>9759</v>
      </c>
      <c r="J52" s="11">
        <v>15550</v>
      </c>
      <c r="K52" s="11">
        <v>1517.52</v>
      </c>
      <c r="L52" s="12">
        <v>6.9999999999999999E-4</v>
      </c>
      <c r="M52" s="12">
        <v>2.8E-3</v>
      </c>
      <c r="N52" s="12">
        <f>K52/'סכום נכסי הקרן'!$C$42</f>
        <v>4.1730823566123838E-4</v>
      </c>
    </row>
    <row r="53" spans="2:14">
      <c r="B53" s="10" t="s">
        <v>706</v>
      </c>
      <c r="C53" s="43">
        <v>777037</v>
      </c>
      <c r="D53" s="10" t="s">
        <v>138</v>
      </c>
      <c r="E53" s="10"/>
      <c r="F53" s="10">
        <v>777</v>
      </c>
      <c r="G53" s="10" t="s">
        <v>330</v>
      </c>
      <c r="H53" s="10" t="s">
        <v>96</v>
      </c>
      <c r="I53" s="11">
        <v>116486</v>
      </c>
      <c r="J53" s="11">
        <v>1439</v>
      </c>
      <c r="K53" s="11">
        <v>1676.23</v>
      </c>
      <c r="L53" s="12">
        <v>5.0000000000000001E-4</v>
      </c>
      <c r="M53" s="12">
        <v>3.0999999999999999E-3</v>
      </c>
      <c r="N53" s="12">
        <f>K53/'סכום נכסי הקרן'!$C$42</f>
        <v>4.6095246445676996E-4</v>
      </c>
    </row>
    <row r="54" spans="2:14">
      <c r="B54" s="10" t="s">
        <v>707</v>
      </c>
      <c r="C54" s="43">
        <v>505016</v>
      </c>
      <c r="D54" s="10" t="s">
        <v>138</v>
      </c>
      <c r="E54" s="10"/>
      <c r="F54" s="10">
        <v>505</v>
      </c>
      <c r="G54" s="10" t="s">
        <v>356</v>
      </c>
      <c r="H54" s="10" t="s">
        <v>96</v>
      </c>
      <c r="I54" s="11">
        <v>26504.86</v>
      </c>
      <c r="J54" s="11">
        <v>4388</v>
      </c>
      <c r="K54" s="11">
        <v>1163.03</v>
      </c>
      <c r="L54" s="12">
        <v>6.9999999999999999E-4</v>
      </c>
      <c r="M54" s="12">
        <v>2.0999999999999999E-3</v>
      </c>
      <c r="N54" s="12">
        <f>K54/'סכום נכסי הקרן'!$C$42</f>
        <v>3.1982576659358032E-4</v>
      </c>
    </row>
    <row r="55" spans="2:14">
      <c r="B55" s="10" t="s">
        <v>708</v>
      </c>
      <c r="C55" s="43">
        <v>1084698</v>
      </c>
      <c r="D55" s="10" t="s">
        <v>138</v>
      </c>
      <c r="E55" s="10"/>
      <c r="F55" s="10">
        <v>1110</v>
      </c>
      <c r="G55" s="10" t="s">
        <v>184</v>
      </c>
      <c r="H55" s="10" t="s">
        <v>96</v>
      </c>
      <c r="I55" s="11">
        <v>64840</v>
      </c>
      <c r="J55" s="11">
        <v>5834</v>
      </c>
      <c r="K55" s="11">
        <v>3782.77</v>
      </c>
      <c r="L55" s="12">
        <v>2.8E-3</v>
      </c>
      <c r="M55" s="12">
        <v>6.8999999999999999E-3</v>
      </c>
      <c r="N55" s="12">
        <f>K55/'סכום נכסי הקרן'!$C$42</f>
        <v>1.0402374101245865E-3</v>
      </c>
    </row>
    <row r="56" spans="2:14">
      <c r="B56" s="10" t="s">
        <v>709</v>
      </c>
      <c r="C56" s="43">
        <v>445015</v>
      </c>
      <c r="D56" s="10" t="s">
        <v>138</v>
      </c>
      <c r="E56" s="10"/>
      <c r="F56" s="10">
        <v>445</v>
      </c>
      <c r="G56" s="10" t="s">
        <v>184</v>
      </c>
      <c r="H56" s="10" t="s">
        <v>96</v>
      </c>
      <c r="I56" s="11">
        <v>106144</v>
      </c>
      <c r="J56" s="11">
        <v>3074</v>
      </c>
      <c r="K56" s="11">
        <v>3262.87</v>
      </c>
      <c r="L56" s="12">
        <v>1.6999999999999999E-3</v>
      </c>
      <c r="M56" s="12">
        <v>5.8999999999999999E-3</v>
      </c>
      <c r="N56" s="12">
        <f>K56/'סכום נכסי הקרן'!$C$42</f>
        <v>8.9726825537191253E-4</v>
      </c>
    </row>
    <row r="57" spans="2:14">
      <c r="B57" s="10" t="s">
        <v>710</v>
      </c>
      <c r="C57" s="43">
        <v>1095835</v>
      </c>
      <c r="D57" s="10" t="s">
        <v>138</v>
      </c>
      <c r="E57" s="10"/>
      <c r="F57" s="10">
        <v>1300</v>
      </c>
      <c r="G57" s="10" t="s">
        <v>239</v>
      </c>
      <c r="H57" s="10" t="s">
        <v>96</v>
      </c>
      <c r="I57" s="11">
        <v>92552.4</v>
      </c>
      <c r="J57" s="11">
        <v>3839</v>
      </c>
      <c r="K57" s="11">
        <v>3553.09</v>
      </c>
      <c r="L57" s="12">
        <v>8.9999999999999998E-4</v>
      </c>
      <c r="M57" s="12">
        <v>6.4999999999999997E-3</v>
      </c>
      <c r="N57" s="12">
        <f>K57/'סכום נכסי הקרן'!$C$42</f>
        <v>9.7707688797880063E-4</v>
      </c>
    </row>
    <row r="58" spans="2:14">
      <c r="B58" s="10" t="s">
        <v>711</v>
      </c>
      <c r="C58" s="43">
        <v>390013</v>
      </c>
      <c r="D58" s="10" t="s">
        <v>138</v>
      </c>
      <c r="E58" s="10"/>
      <c r="F58" s="10">
        <v>390</v>
      </c>
      <c r="G58" s="10" t="s">
        <v>239</v>
      </c>
      <c r="H58" s="10" t="s">
        <v>96</v>
      </c>
      <c r="I58" s="11">
        <v>159738</v>
      </c>
      <c r="J58" s="11">
        <v>3100</v>
      </c>
      <c r="K58" s="11">
        <v>4951.88</v>
      </c>
      <c r="L58" s="12">
        <v>1E-3</v>
      </c>
      <c r="M58" s="12">
        <v>8.9999999999999993E-3</v>
      </c>
      <c r="N58" s="12">
        <f>K58/'סכום נכסי הקרן'!$C$42</f>
        <v>1.3617351375969826E-3</v>
      </c>
    </row>
    <row r="59" spans="2:14">
      <c r="B59" s="10" t="s">
        <v>712</v>
      </c>
      <c r="C59" s="43">
        <v>387019</v>
      </c>
      <c r="D59" s="10" t="s">
        <v>138</v>
      </c>
      <c r="E59" s="10"/>
      <c r="F59" s="10">
        <v>387</v>
      </c>
      <c r="G59" s="10" t="s">
        <v>239</v>
      </c>
      <c r="H59" s="10" t="s">
        <v>96</v>
      </c>
      <c r="I59" s="11">
        <v>70447.44</v>
      </c>
      <c r="J59" s="11">
        <v>8380</v>
      </c>
      <c r="K59" s="11">
        <v>5903.5</v>
      </c>
      <c r="L59" s="12">
        <v>2.8E-3</v>
      </c>
      <c r="M59" s="12">
        <v>1.0800000000000001E-2</v>
      </c>
      <c r="N59" s="12">
        <f>K59/'סכום נכסי הקרן'!$C$42</f>
        <v>1.6234245144881917E-3</v>
      </c>
    </row>
    <row r="60" spans="2:14">
      <c r="B60" s="10" t="s">
        <v>713</v>
      </c>
      <c r="C60" s="43">
        <v>1097278</v>
      </c>
      <c r="D60" s="10" t="s">
        <v>138</v>
      </c>
      <c r="E60" s="10"/>
      <c r="F60" s="10">
        <v>1328</v>
      </c>
      <c r="G60" s="10" t="s">
        <v>239</v>
      </c>
      <c r="H60" s="10" t="s">
        <v>96</v>
      </c>
      <c r="I60" s="11">
        <v>159678</v>
      </c>
      <c r="J60" s="11">
        <v>1634</v>
      </c>
      <c r="K60" s="11">
        <v>2609.14</v>
      </c>
      <c r="L60" s="12">
        <v>5.0000000000000001E-4</v>
      </c>
      <c r="M60" s="12">
        <v>4.7999999999999996E-3</v>
      </c>
      <c r="N60" s="12">
        <f>K60/'סכום נכסי הקרן'!$C$42</f>
        <v>7.1749671173570258E-4</v>
      </c>
    </row>
    <row r="61" spans="2:14">
      <c r="B61" s="10" t="s">
        <v>714</v>
      </c>
      <c r="C61" s="43">
        <v>1091354</v>
      </c>
      <c r="D61" s="10" t="s">
        <v>138</v>
      </c>
      <c r="E61" s="10"/>
      <c r="F61" s="10">
        <v>1172</v>
      </c>
      <c r="G61" s="10" t="s">
        <v>239</v>
      </c>
      <c r="H61" s="10" t="s">
        <v>96</v>
      </c>
      <c r="I61" s="11">
        <v>45276.77</v>
      </c>
      <c r="J61" s="11">
        <v>6598</v>
      </c>
      <c r="K61" s="11">
        <v>2987.36</v>
      </c>
      <c r="L61" s="12">
        <v>1.6000000000000001E-3</v>
      </c>
      <c r="M61" s="12">
        <v>5.4000000000000003E-3</v>
      </c>
      <c r="N61" s="12">
        <f>K61/'סכום נכסי הקרן'!$C$42</f>
        <v>8.2150477811492246E-4</v>
      </c>
    </row>
    <row r="62" spans="2:14">
      <c r="B62" s="10" t="s">
        <v>715</v>
      </c>
      <c r="C62" s="43">
        <v>1097260</v>
      </c>
      <c r="D62" s="10" t="s">
        <v>138</v>
      </c>
      <c r="E62" s="10"/>
      <c r="F62" s="10">
        <v>1327</v>
      </c>
      <c r="G62" s="10" t="s">
        <v>239</v>
      </c>
      <c r="H62" s="10" t="s">
        <v>96</v>
      </c>
      <c r="I62" s="11">
        <v>4574</v>
      </c>
      <c r="J62" s="11">
        <v>25300</v>
      </c>
      <c r="K62" s="11">
        <v>1157.22</v>
      </c>
      <c r="L62" s="12">
        <v>2.9999999999999997E-4</v>
      </c>
      <c r="M62" s="12">
        <v>2.0999999999999999E-3</v>
      </c>
      <c r="N62" s="12">
        <f>K62/'סכום נכסי הקרן'!$C$42</f>
        <v>3.1822805397747526E-4</v>
      </c>
    </row>
    <row r="63" spans="2:14">
      <c r="B63" s="10" t="s">
        <v>716</v>
      </c>
      <c r="C63" s="43">
        <v>1121607</v>
      </c>
      <c r="D63" s="10" t="s">
        <v>138</v>
      </c>
      <c r="E63" s="10"/>
      <c r="F63" s="10">
        <v>1560</v>
      </c>
      <c r="G63" s="10" t="s">
        <v>239</v>
      </c>
      <c r="H63" s="10" t="s">
        <v>96</v>
      </c>
      <c r="I63" s="11">
        <v>9091</v>
      </c>
      <c r="J63" s="11">
        <v>34590</v>
      </c>
      <c r="K63" s="11">
        <v>3144.58</v>
      </c>
      <c r="L63" s="12">
        <v>1.4E-3</v>
      </c>
      <c r="M63" s="12">
        <v>5.7000000000000002E-3</v>
      </c>
      <c r="N63" s="12">
        <f>K63/'סכום נכסי הקרן'!$C$42</f>
        <v>8.6473926649771788E-4</v>
      </c>
    </row>
    <row r="64" spans="2:14">
      <c r="B64" s="10" t="s">
        <v>717</v>
      </c>
      <c r="C64" s="43">
        <v>759019</v>
      </c>
      <c r="D64" s="10" t="s">
        <v>138</v>
      </c>
      <c r="E64" s="10"/>
      <c r="F64" s="10">
        <v>759</v>
      </c>
      <c r="G64" s="10" t="s">
        <v>239</v>
      </c>
      <c r="H64" s="10" t="s">
        <v>96</v>
      </c>
      <c r="I64" s="11">
        <v>781</v>
      </c>
      <c r="J64" s="11">
        <v>139900</v>
      </c>
      <c r="K64" s="11">
        <v>1092.6199999999999</v>
      </c>
      <c r="L64" s="12">
        <v>4.0000000000000002E-4</v>
      </c>
      <c r="M64" s="12">
        <v>2E-3</v>
      </c>
      <c r="N64" s="12">
        <f>K64/'סכום נכסי הקרן'!$C$42</f>
        <v>3.0046346964005894E-4</v>
      </c>
    </row>
    <row r="65" spans="2:14">
      <c r="B65" s="10" t="s">
        <v>718</v>
      </c>
      <c r="C65" s="43">
        <v>198010</v>
      </c>
      <c r="D65" s="10" t="s">
        <v>138</v>
      </c>
      <c r="E65" s="10"/>
      <c r="F65" s="10">
        <v>198</v>
      </c>
      <c r="G65" s="10" t="s">
        <v>239</v>
      </c>
      <c r="H65" s="10" t="s">
        <v>96</v>
      </c>
      <c r="I65" s="11">
        <v>132162.6</v>
      </c>
      <c r="J65" s="11">
        <v>803.2</v>
      </c>
      <c r="K65" s="11">
        <v>1061.53</v>
      </c>
      <c r="L65" s="12">
        <v>5.0000000000000001E-4</v>
      </c>
      <c r="M65" s="12">
        <v>1.9E-3</v>
      </c>
      <c r="N65" s="12">
        <f>K65/'סכום נכסי הקרן'!$C$42</f>
        <v>2.9191391968572036E-4</v>
      </c>
    </row>
    <row r="66" spans="2:14">
      <c r="B66" s="10" t="s">
        <v>719</v>
      </c>
      <c r="C66" s="43">
        <v>226019</v>
      </c>
      <c r="D66" s="10" t="s">
        <v>138</v>
      </c>
      <c r="E66" s="10"/>
      <c r="F66" s="10">
        <v>226</v>
      </c>
      <c r="G66" s="10" t="s">
        <v>239</v>
      </c>
      <c r="H66" s="10" t="s">
        <v>96</v>
      </c>
      <c r="I66" s="11">
        <v>179791</v>
      </c>
      <c r="J66" s="11">
        <v>460.9</v>
      </c>
      <c r="K66" s="11">
        <v>828.66</v>
      </c>
      <c r="L66" s="12">
        <v>4.0000000000000002E-4</v>
      </c>
      <c r="M66" s="12">
        <v>1.5E-3</v>
      </c>
      <c r="N66" s="12">
        <f>K66/'סכום נכסי הקרן'!$C$42</f>
        <v>2.2787616806568727E-4</v>
      </c>
    </row>
    <row r="67" spans="2:14">
      <c r="B67" s="10" t="s">
        <v>720</v>
      </c>
      <c r="C67" s="43">
        <v>723007</v>
      </c>
      <c r="D67" s="10" t="s">
        <v>138</v>
      </c>
      <c r="E67" s="10"/>
      <c r="F67" s="10">
        <v>723</v>
      </c>
      <c r="G67" s="10" t="s">
        <v>239</v>
      </c>
      <c r="H67" s="10" t="s">
        <v>96</v>
      </c>
      <c r="I67" s="11">
        <v>33104.370000000003</v>
      </c>
      <c r="J67" s="11">
        <v>5859</v>
      </c>
      <c r="K67" s="11">
        <v>1939.59</v>
      </c>
      <c r="L67" s="12">
        <v>1.1000000000000001E-3</v>
      </c>
      <c r="M67" s="12">
        <v>3.5000000000000001E-3</v>
      </c>
      <c r="N67" s="12">
        <f>K67/'סכום נכסי הקרן'!$C$42</f>
        <v>5.3337476989178485E-4</v>
      </c>
    </row>
    <row r="68" spans="2:14">
      <c r="B68" s="10" t="s">
        <v>721</v>
      </c>
      <c r="C68" s="43">
        <v>699017</v>
      </c>
      <c r="D68" s="10" t="s">
        <v>138</v>
      </c>
      <c r="E68" s="10"/>
      <c r="F68" s="10">
        <v>699</v>
      </c>
      <c r="G68" s="10" t="s">
        <v>239</v>
      </c>
      <c r="H68" s="10" t="s">
        <v>96</v>
      </c>
      <c r="I68" s="11">
        <v>8951</v>
      </c>
      <c r="J68" s="11">
        <v>29800</v>
      </c>
      <c r="K68" s="11">
        <v>2667.4</v>
      </c>
      <c r="L68" s="12">
        <v>1.4E-3</v>
      </c>
      <c r="M68" s="12">
        <v>4.8999999999999998E-3</v>
      </c>
      <c r="N68" s="12">
        <f>K68/'סכום נכסי הקרן'!$C$42</f>
        <v>7.3351783686724872E-4</v>
      </c>
    </row>
    <row r="69" spans="2:14">
      <c r="B69" s="10" t="s">
        <v>722</v>
      </c>
      <c r="C69" s="43">
        <v>1098565</v>
      </c>
      <c r="D69" s="10" t="s">
        <v>138</v>
      </c>
      <c r="E69" s="10"/>
      <c r="F69" s="10">
        <v>1349</v>
      </c>
      <c r="G69" s="10" t="s">
        <v>239</v>
      </c>
      <c r="H69" s="10" t="s">
        <v>96</v>
      </c>
      <c r="I69" s="11">
        <v>13399</v>
      </c>
      <c r="J69" s="11">
        <v>14700</v>
      </c>
      <c r="K69" s="11">
        <v>1969.65</v>
      </c>
      <c r="L69" s="12">
        <v>1.1000000000000001E-3</v>
      </c>
      <c r="M69" s="12">
        <v>3.5999999999999999E-3</v>
      </c>
      <c r="N69" s="12">
        <f>K69/'סכום נכסי הקרן'!$C$42</f>
        <v>5.4164107647356092E-4</v>
      </c>
    </row>
    <row r="70" spans="2:14">
      <c r="B70" s="10" t="s">
        <v>723</v>
      </c>
      <c r="C70" s="43">
        <v>1098920</v>
      </c>
      <c r="D70" s="10" t="s">
        <v>138</v>
      </c>
      <c r="E70" s="10"/>
      <c r="F70" s="10">
        <v>1357</v>
      </c>
      <c r="G70" s="10" t="s">
        <v>239</v>
      </c>
      <c r="H70" s="10" t="s">
        <v>96</v>
      </c>
      <c r="I70" s="11">
        <v>299785</v>
      </c>
      <c r="J70" s="11">
        <v>1062</v>
      </c>
      <c r="K70" s="11">
        <v>3183.72</v>
      </c>
      <c r="L70" s="12">
        <v>1.8E-3</v>
      </c>
      <c r="M70" s="12">
        <v>5.7999999999999996E-3</v>
      </c>
      <c r="N70" s="12">
        <f>K70/'סכום נכסי הקרן'!$C$42</f>
        <v>8.7550251465509361E-4</v>
      </c>
    </row>
    <row r="71" spans="2:14">
      <c r="B71" s="10" t="s">
        <v>724</v>
      </c>
      <c r="C71" s="43">
        <v>1081942</v>
      </c>
      <c r="D71" s="10" t="s">
        <v>138</v>
      </c>
      <c r="E71" s="10"/>
      <c r="F71" s="10">
        <v>1068</v>
      </c>
      <c r="G71" s="10" t="s">
        <v>239</v>
      </c>
      <c r="H71" s="10" t="s">
        <v>96</v>
      </c>
      <c r="I71" s="11">
        <v>426454</v>
      </c>
      <c r="J71" s="11">
        <v>737</v>
      </c>
      <c r="K71" s="11">
        <v>3142.97</v>
      </c>
      <c r="L71" s="12">
        <v>1E-3</v>
      </c>
      <c r="M71" s="12">
        <v>5.7000000000000002E-3</v>
      </c>
      <c r="N71" s="12">
        <f>K71/'סכום נכסי הקרן'!$C$42</f>
        <v>8.6429652685711042E-4</v>
      </c>
    </row>
    <row r="72" spans="2:14">
      <c r="B72" s="10" t="s">
        <v>725</v>
      </c>
      <c r="C72" s="43">
        <v>621011</v>
      </c>
      <c r="D72" s="10" t="s">
        <v>138</v>
      </c>
      <c r="E72" s="10"/>
      <c r="F72" s="10">
        <v>621</v>
      </c>
      <c r="G72" s="10" t="s">
        <v>269</v>
      </c>
      <c r="H72" s="10" t="s">
        <v>96</v>
      </c>
      <c r="I72" s="11">
        <v>41964</v>
      </c>
      <c r="J72" s="11">
        <v>9944</v>
      </c>
      <c r="K72" s="11">
        <v>4172.8999999999996</v>
      </c>
      <c r="L72" s="12">
        <v>3.3E-3</v>
      </c>
      <c r="M72" s="12">
        <v>7.6E-3</v>
      </c>
      <c r="N72" s="12">
        <f>K72/'סכום נכסי הקרן'!$C$42</f>
        <v>1.1475206498700388E-3</v>
      </c>
    </row>
    <row r="73" spans="2:14">
      <c r="B73" s="10" t="s">
        <v>726</v>
      </c>
      <c r="C73" s="43">
        <v>627034</v>
      </c>
      <c r="D73" s="10" t="s">
        <v>138</v>
      </c>
      <c r="E73" s="10"/>
      <c r="F73" s="10">
        <v>627</v>
      </c>
      <c r="G73" s="10" t="s">
        <v>727</v>
      </c>
      <c r="H73" s="10" t="s">
        <v>96</v>
      </c>
      <c r="I73" s="11">
        <v>34762</v>
      </c>
      <c r="J73" s="11">
        <v>11170</v>
      </c>
      <c r="K73" s="11">
        <v>3882.92</v>
      </c>
      <c r="L73" s="12">
        <v>1.2999999999999999E-3</v>
      </c>
      <c r="M73" s="12">
        <v>7.1000000000000004E-3</v>
      </c>
      <c r="N73" s="12">
        <f>K73/'סכום נכסי הקרן'!$C$42</f>
        <v>1.0677780157188938E-3</v>
      </c>
    </row>
    <row r="74" spans="2:14">
      <c r="B74" s="10" t="s">
        <v>728</v>
      </c>
      <c r="C74" s="43">
        <v>1087022</v>
      </c>
      <c r="D74" s="10" t="s">
        <v>138</v>
      </c>
      <c r="E74" s="10"/>
      <c r="F74" s="10">
        <v>1140</v>
      </c>
      <c r="G74" s="10" t="s">
        <v>727</v>
      </c>
      <c r="H74" s="10" t="s">
        <v>96</v>
      </c>
      <c r="I74" s="11">
        <v>20223</v>
      </c>
      <c r="J74" s="11">
        <v>6214</v>
      </c>
      <c r="K74" s="11">
        <v>1256.6600000000001</v>
      </c>
      <c r="L74" s="12">
        <v>1.5E-3</v>
      </c>
      <c r="M74" s="12">
        <v>2.3E-3</v>
      </c>
      <c r="N74" s="12">
        <f>K74/'סכום נכסי הקרן'!$C$42</f>
        <v>3.4557341414021025E-4</v>
      </c>
    </row>
    <row r="75" spans="2:14">
      <c r="B75" s="10" t="s">
        <v>729</v>
      </c>
      <c r="C75" s="43">
        <v>1132356</v>
      </c>
      <c r="D75" s="10" t="s">
        <v>138</v>
      </c>
      <c r="E75" s="10"/>
      <c r="F75" s="10">
        <v>1616</v>
      </c>
      <c r="G75" s="10" t="s">
        <v>411</v>
      </c>
      <c r="H75" s="10" t="s">
        <v>96</v>
      </c>
      <c r="I75" s="11">
        <v>263143</v>
      </c>
      <c r="J75" s="11">
        <v>1270</v>
      </c>
      <c r="K75" s="11">
        <v>3341.92</v>
      </c>
      <c r="L75" s="12">
        <v>2.3999999999999998E-3</v>
      </c>
      <c r="M75" s="12">
        <v>6.1000000000000004E-3</v>
      </c>
      <c r="N75" s="12">
        <f>K75/'סכום נכסי הקרן'!$C$42</f>
        <v>9.1900649673217209E-4</v>
      </c>
    </row>
    <row r="76" spans="2:14">
      <c r="B76" s="10" t="s">
        <v>730</v>
      </c>
      <c r="C76" s="43">
        <v>1133875</v>
      </c>
      <c r="D76" s="10" t="s">
        <v>138</v>
      </c>
      <c r="E76" s="10"/>
      <c r="F76" s="10">
        <v>1633</v>
      </c>
      <c r="G76" s="10" t="s">
        <v>411</v>
      </c>
      <c r="H76" s="10" t="s">
        <v>96</v>
      </c>
      <c r="I76" s="11">
        <v>181627</v>
      </c>
      <c r="J76" s="11">
        <v>837.9</v>
      </c>
      <c r="K76" s="11">
        <v>1521.85</v>
      </c>
      <c r="L76" s="12">
        <v>5.0000000000000001E-4</v>
      </c>
      <c r="M76" s="12">
        <v>2.8E-3</v>
      </c>
      <c r="N76" s="12">
        <f>K76/'סכום נכסי הקרן'!$C$42</f>
        <v>4.1849895780026331E-4</v>
      </c>
    </row>
    <row r="77" spans="2:14">
      <c r="B77" s="10" t="s">
        <v>731</v>
      </c>
      <c r="C77" s="43">
        <v>1082510</v>
      </c>
      <c r="D77" s="10" t="s">
        <v>138</v>
      </c>
      <c r="E77" s="10"/>
      <c r="F77" s="10">
        <v>2030</v>
      </c>
      <c r="G77" s="10" t="s">
        <v>403</v>
      </c>
      <c r="H77" s="10" t="s">
        <v>96</v>
      </c>
      <c r="I77" s="11">
        <v>219233</v>
      </c>
      <c r="J77" s="11">
        <v>1946</v>
      </c>
      <c r="K77" s="11">
        <v>4266.2700000000004</v>
      </c>
      <c r="L77" s="12">
        <v>4.0000000000000001E-3</v>
      </c>
      <c r="M77" s="12">
        <v>7.7999999999999996E-3</v>
      </c>
      <c r="N77" s="12">
        <f>K77/'סכום נכסי הקרן'!$C$42</f>
        <v>1.1731967990896144E-3</v>
      </c>
    </row>
    <row r="78" spans="2:14">
      <c r="B78" s="10" t="s">
        <v>732</v>
      </c>
      <c r="C78" s="43">
        <v>1082379</v>
      </c>
      <c r="D78" s="10" t="s">
        <v>138</v>
      </c>
      <c r="E78" s="10"/>
      <c r="F78" s="10">
        <v>2028</v>
      </c>
      <c r="G78" s="10" t="s">
        <v>403</v>
      </c>
      <c r="H78" s="10" t="s">
        <v>96</v>
      </c>
      <c r="I78" s="11">
        <v>96402.94</v>
      </c>
      <c r="J78" s="11">
        <v>7367</v>
      </c>
      <c r="K78" s="11">
        <v>7102</v>
      </c>
      <c r="L78" s="12">
        <v>1.1000000000000001E-3</v>
      </c>
      <c r="M78" s="12">
        <v>1.29E-2</v>
      </c>
      <c r="N78" s="12">
        <f>K78/'סכום נכסי הקרן'!$C$42</f>
        <v>1.9530043028534152E-3</v>
      </c>
    </row>
    <row r="79" spans="2:14">
      <c r="B79" s="10" t="s">
        <v>733</v>
      </c>
      <c r="C79" s="43">
        <v>1091065</v>
      </c>
      <c r="D79" s="10" t="s">
        <v>138</v>
      </c>
      <c r="E79" s="10"/>
      <c r="F79" s="10">
        <v>1212</v>
      </c>
      <c r="G79" s="10" t="s">
        <v>403</v>
      </c>
      <c r="H79" s="10" t="s">
        <v>96</v>
      </c>
      <c r="I79" s="11">
        <v>235925</v>
      </c>
      <c r="J79" s="11">
        <v>1478</v>
      </c>
      <c r="K79" s="11">
        <v>3486.97</v>
      </c>
      <c r="L79" s="12">
        <v>2.3E-3</v>
      </c>
      <c r="M79" s="12">
        <v>6.4000000000000003E-3</v>
      </c>
      <c r="N79" s="12">
        <f>K79/'סכום נכסי הקרן'!$C$42</f>
        <v>9.5889431342168028E-4</v>
      </c>
    </row>
    <row r="80" spans="2:14">
      <c r="B80" s="10" t="s">
        <v>734</v>
      </c>
      <c r="C80" s="43">
        <v>1084557</v>
      </c>
      <c r="D80" s="10" t="s">
        <v>138</v>
      </c>
      <c r="E80" s="10"/>
      <c r="F80" s="10">
        <v>2177</v>
      </c>
      <c r="G80" s="10" t="s">
        <v>403</v>
      </c>
      <c r="H80" s="10" t="s">
        <v>96</v>
      </c>
      <c r="I80" s="11">
        <v>11100</v>
      </c>
      <c r="J80" s="11">
        <v>5149</v>
      </c>
      <c r="K80" s="11">
        <v>571.54</v>
      </c>
      <c r="L80" s="12">
        <v>4.0000000000000002E-4</v>
      </c>
      <c r="M80" s="12">
        <v>1E-3</v>
      </c>
      <c r="N80" s="12">
        <f>K80/'סכום נכסי הקרן'!$C$42</f>
        <v>1.5716982247998323E-4</v>
      </c>
    </row>
    <row r="81" spans="2:14">
      <c r="B81" s="10" t="s">
        <v>735</v>
      </c>
      <c r="C81" s="43">
        <v>2590248</v>
      </c>
      <c r="D81" s="10" t="s">
        <v>138</v>
      </c>
      <c r="E81" s="10"/>
      <c r="F81" s="10">
        <v>259</v>
      </c>
      <c r="G81" s="10" t="s">
        <v>273</v>
      </c>
      <c r="H81" s="10" t="s">
        <v>96</v>
      </c>
      <c r="I81" s="11">
        <v>1614863</v>
      </c>
      <c r="J81" s="11">
        <v>135.5</v>
      </c>
      <c r="K81" s="11">
        <v>2188.14</v>
      </c>
      <c r="L81" s="12">
        <v>5.0000000000000001E-4</v>
      </c>
      <c r="M81" s="12">
        <v>4.0000000000000001E-3</v>
      </c>
      <c r="N81" s="12">
        <f>K81/'סכום נכסי הקרן'!$C$42</f>
        <v>6.0172442062034247E-4</v>
      </c>
    </row>
    <row r="82" spans="2:14">
      <c r="B82" s="10" t="s">
        <v>736</v>
      </c>
      <c r="C82" s="43">
        <v>1081603</v>
      </c>
      <c r="D82" s="10" t="s">
        <v>138</v>
      </c>
      <c r="E82" s="10"/>
      <c r="F82" s="10">
        <v>1057</v>
      </c>
      <c r="G82" s="10" t="s">
        <v>273</v>
      </c>
      <c r="H82" s="10" t="s">
        <v>96</v>
      </c>
      <c r="I82" s="11">
        <v>18871</v>
      </c>
      <c r="J82" s="11">
        <v>11240</v>
      </c>
      <c r="K82" s="11">
        <v>2121.1</v>
      </c>
      <c r="L82" s="12">
        <v>2E-3</v>
      </c>
      <c r="M82" s="12">
        <v>3.8999999999999998E-3</v>
      </c>
      <c r="N82" s="12">
        <f>K82/'סכום נכסי הקרן'!$C$42</f>
        <v>5.8328885198287515E-4</v>
      </c>
    </row>
    <row r="83" spans="2:14">
      <c r="B83" s="10" t="s">
        <v>737</v>
      </c>
      <c r="C83" s="43">
        <v>1100957</v>
      </c>
      <c r="D83" s="10" t="s">
        <v>138</v>
      </c>
      <c r="E83" s="10"/>
      <c r="F83" s="10">
        <v>1390</v>
      </c>
      <c r="G83" s="10" t="s">
        <v>405</v>
      </c>
      <c r="H83" s="10" t="s">
        <v>96</v>
      </c>
      <c r="I83" s="11">
        <v>277936</v>
      </c>
      <c r="J83" s="11">
        <v>463.9</v>
      </c>
      <c r="K83" s="11">
        <v>1289.3499999999999</v>
      </c>
      <c r="L83" s="12">
        <v>8.9999999999999998E-4</v>
      </c>
      <c r="M83" s="12">
        <v>2.3999999999999998E-3</v>
      </c>
      <c r="N83" s="12">
        <f>K83/'סכום נכסי הקרן'!$C$42</f>
        <v>3.5456295379950026E-4</v>
      </c>
    </row>
    <row r="84" spans="2:14">
      <c r="B84" s="10" t="s">
        <v>738</v>
      </c>
      <c r="C84" s="43">
        <v>694034</v>
      </c>
      <c r="D84" s="10" t="s">
        <v>138</v>
      </c>
      <c r="E84" s="10"/>
      <c r="F84" s="10">
        <v>694</v>
      </c>
      <c r="G84" s="10" t="s">
        <v>307</v>
      </c>
      <c r="H84" s="10" t="s">
        <v>96</v>
      </c>
      <c r="I84" s="11">
        <v>51784</v>
      </c>
      <c r="J84" s="11">
        <v>5542</v>
      </c>
      <c r="K84" s="11">
        <v>2869.87</v>
      </c>
      <c r="L84" s="12">
        <v>1.5E-3</v>
      </c>
      <c r="M84" s="12">
        <v>5.1999999999999998E-3</v>
      </c>
      <c r="N84" s="12">
        <f>K84/'סכום נכסי הקרן'!$C$42</f>
        <v>7.8919578409320347E-4</v>
      </c>
    </row>
    <row r="85" spans="2:14">
      <c r="B85" s="10" t="s">
        <v>739</v>
      </c>
      <c r="C85" s="43">
        <v>127019</v>
      </c>
      <c r="D85" s="10" t="s">
        <v>138</v>
      </c>
      <c r="E85" s="10"/>
      <c r="F85" s="10">
        <v>127</v>
      </c>
      <c r="G85" s="10" t="s">
        <v>307</v>
      </c>
      <c r="H85" s="10" t="s">
        <v>96</v>
      </c>
      <c r="I85" s="11">
        <v>20527</v>
      </c>
      <c r="J85" s="11">
        <v>7817</v>
      </c>
      <c r="K85" s="11">
        <v>1604.6</v>
      </c>
      <c r="L85" s="12">
        <v>1.9E-3</v>
      </c>
      <c r="M85" s="12">
        <v>2.8999999999999998E-3</v>
      </c>
      <c r="N85" s="12">
        <f>K85/'סכום נכסי הקרן'!$C$42</f>
        <v>4.4125467535322303E-4</v>
      </c>
    </row>
    <row r="86" spans="2:14">
      <c r="B86" s="10" t="s">
        <v>740</v>
      </c>
      <c r="C86" s="43">
        <v>1134139</v>
      </c>
      <c r="D86" s="10" t="s">
        <v>138</v>
      </c>
      <c r="E86" s="10"/>
      <c r="F86" s="10">
        <v>1635</v>
      </c>
      <c r="G86" s="10" t="s">
        <v>307</v>
      </c>
      <c r="H86" s="10" t="s">
        <v>96</v>
      </c>
      <c r="I86" s="11">
        <v>27534.99</v>
      </c>
      <c r="J86" s="11">
        <v>4522</v>
      </c>
      <c r="K86" s="11">
        <v>1245.1300000000001</v>
      </c>
      <c r="L86" s="12">
        <v>5.0000000000000001E-4</v>
      </c>
      <c r="M86" s="12">
        <v>2.3E-3</v>
      </c>
      <c r="N86" s="12">
        <f>K86/'סכום נכסי הקרן'!$C$42</f>
        <v>3.4240273832890361E-4</v>
      </c>
    </row>
    <row r="87" spans="2:14">
      <c r="B87" s="10" t="s">
        <v>741</v>
      </c>
      <c r="C87" s="43">
        <v>394015</v>
      </c>
      <c r="D87" s="10" t="s">
        <v>138</v>
      </c>
      <c r="E87" s="10"/>
      <c r="F87" s="10">
        <v>394</v>
      </c>
      <c r="G87" s="10" t="s">
        <v>401</v>
      </c>
      <c r="H87" s="10" t="s">
        <v>96</v>
      </c>
      <c r="I87" s="11">
        <v>17948694</v>
      </c>
      <c r="J87" s="11">
        <v>33.200000000000003</v>
      </c>
      <c r="K87" s="11">
        <v>5958.97</v>
      </c>
      <c r="L87" s="12">
        <v>2.0999999999999999E-3</v>
      </c>
      <c r="M87" s="12">
        <v>1.09E-2</v>
      </c>
      <c r="N87" s="12">
        <f>K87/'סכום נכסי הקרן'!$C$42</f>
        <v>1.6386784075717287E-3</v>
      </c>
    </row>
    <row r="88" spans="2:14">
      <c r="B88" s="10" t="s">
        <v>742</v>
      </c>
      <c r="C88" s="43">
        <v>1107663</v>
      </c>
      <c r="D88" s="10" t="s">
        <v>138</v>
      </c>
      <c r="E88" s="10"/>
      <c r="F88" s="10">
        <v>1422</v>
      </c>
      <c r="G88" s="10" t="s">
        <v>247</v>
      </c>
      <c r="H88" s="10" t="s">
        <v>96</v>
      </c>
      <c r="I88" s="11">
        <v>14302</v>
      </c>
      <c r="J88" s="11">
        <v>8430</v>
      </c>
      <c r="K88" s="11">
        <v>1205.6600000000001</v>
      </c>
      <c r="L88" s="12">
        <v>5.0000000000000001E-4</v>
      </c>
      <c r="M88" s="12">
        <v>2.2000000000000001E-3</v>
      </c>
      <c r="N88" s="12">
        <f>K88/'סכום נכסי הקרן'!$C$42</f>
        <v>3.3154874229488157E-4</v>
      </c>
    </row>
    <row r="89" spans="2:14">
      <c r="B89" s="10" t="s">
        <v>743</v>
      </c>
      <c r="C89" s="43">
        <v>1092345</v>
      </c>
      <c r="D89" s="10" t="s">
        <v>138</v>
      </c>
      <c r="E89" s="10"/>
      <c r="F89" s="10">
        <v>1132</v>
      </c>
      <c r="G89" s="10" t="s">
        <v>247</v>
      </c>
      <c r="H89" s="10" t="s">
        <v>96</v>
      </c>
      <c r="I89" s="11">
        <v>28135</v>
      </c>
      <c r="J89" s="11">
        <v>2432</v>
      </c>
      <c r="K89" s="11">
        <v>684.24</v>
      </c>
      <c r="L89" s="12">
        <v>1.4E-3</v>
      </c>
      <c r="M89" s="12">
        <v>1.1999999999999999E-3</v>
      </c>
      <c r="N89" s="12">
        <f>K89/'סכום נכסי הקרן'!$C$42</f>
        <v>1.8816159732250366E-4</v>
      </c>
    </row>
    <row r="90" spans="2:14">
      <c r="B90" s="10" t="s">
        <v>744</v>
      </c>
      <c r="C90" s="43">
        <v>1101534</v>
      </c>
      <c r="D90" s="10" t="s">
        <v>138</v>
      </c>
      <c r="E90" s="10"/>
      <c r="F90" s="10">
        <v>2066</v>
      </c>
      <c r="G90" s="10" t="s">
        <v>247</v>
      </c>
      <c r="H90" s="10" t="s">
        <v>96</v>
      </c>
      <c r="I90" s="11">
        <v>96294</v>
      </c>
      <c r="J90" s="11">
        <v>3100</v>
      </c>
      <c r="K90" s="11">
        <v>2985.11</v>
      </c>
      <c r="L90" s="12">
        <v>1E-3</v>
      </c>
      <c r="M90" s="12">
        <v>5.4000000000000003E-3</v>
      </c>
      <c r="N90" s="12">
        <f>K90/'סכום נכסי הקרן'!$C$42</f>
        <v>8.2088604259233445E-4</v>
      </c>
    </row>
    <row r="91" spans="2:14">
      <c r="B91" s="10" t="s">
        <v>745</v>
      </c>
      <c r="C91" s="43">
        <v>1083484</v>
      </c>
      <c r="D91" s="10" t="s">
        <v>138</v>
      </c>
      <c r="E91" s="10"/>
      <c r="F91" s="10">
        <v>2095</v>
      </c>
      <c r="G91" s="10" t="s">
        <v>247</v>
      </c>
      <c r="H91" s="10" t="s">
        <v>96</v>
      </c>
      <c r="I91" s="11">
        <v>312216</v>
      </c>
      <c r="J91" s="11">
        <v>1847</v>
      </c>
      <c r="K91" s="11">
        <v>5766.63</v>
      </c>
      <c r="L91" s="12">
        <v>1.9E-3</v>
      </c>
      <c r="M91" s="12">
        <v>1.0500000000000001E-2</v>
      </c>
      <c r="N91" s="12">
        <f>K91/'סכום נכסי הקרן'!$C$42</f>
        <v>1.5857861451652479E-3</v>
      </c>
    </row>
    <row r="92" spans="2:14">
      <c r="B92" s="10" t="s">
        <v>746</v>
      </c>
      <c r="C92" s="43">
        <v>1106855</v>
      </c>
      <c r="D92" s="10" t="s">
        <v>138</v>
      </c>
      <c r="E92" s="10"/>
      <c r="F92" s="10">
        <v>1487</v>
      </c>
      <c r="G92" s="10" t="s">
        <v>184</v>
      </c>
      <c r="H92" s="10" t="s">
        <v>96</v>
      </c>
      <c r="I92" s="11">
        <v>68090</v>
      </c>
      <c r="J92" s="11">
        <v>4315</v>
      </c>
      <c r="K92" s="11">
        <v>2938.08</v>
      </c>
      <c r="L92" s="12">
        <v>1.4E-3</v>
      </c>
      <c r="M92" s="12">
        <v>5.4000000000000003E-3</v>
      </c>
      <c r="N92" s="12">
        <f>K92/'סכום נכסי הקרן'!$C$42</f>
        <v>8.0795309520241651E-4</v>
      </c>
    </row>
    <row r="93" spans="2:14">
      <c r="B93" s="10" t="s">
        <v>747</v>
      </c>
      <c r="C93" s="43">
        <v>1105055</v>
      </c>
      <c r="D93" s="10" t="s">
        <v>138</v>
      </c>
      <c r="E93" s="10"/>
      <c r="F93" s="10">
        <v>1461</v>
      </c>
      <c r="G93" s="10" t="s">
        <v>748</v>
      </c>
      <c r="H93" s="10" t="s">
        <v>96</v>
      </c>
      <c r="I93" s="11">
        <v>33055.5</v>
      </c>
      <c r="J93" s="11">
        <v>1960</v>
      </c>
      <c r="K93" s="11">
        <v>647.89</v>
      </c>
      <c r="L93" s="12">
        <v>1.2999999999999999E-3</v>
      </c>
      <c r="M93" s="12">
        <v>1.1999999999999999E-3</v>
      </c>
      <c r="N93" s="12">
        <f>K93/'סכום נכסי הקרן'!$C$42</f>
        <v>1.7816558121313704E-4</v>
      </c>
    </row>
    <row r="94" spans="2:14">
      <c r="B94" s="10" t="s">
        <v>749</v>
      </c>
      <c r="C94" s="43">
        <v>1123355</v>
      </c>
      <c r="D94" s="10" t="s">
        <v>138</v>
      </c>
      <c r="E94" s="10"/>
      <c r="F94" s="10">
        <v>1581</v>
      </c>
      <c r="G94" s="10" t="s">
        <v>694</v>
      </c>
      <c r="H94" s="10" t="s">
        <v>96</v>
      </c>
      <c r="I94" s="11">
        <v>903290.86</v>
      </c>
      <c r="J94" s="11">
        <v>238.9</v>
      </c>
      <c r="K94" s="11">
        <v>2157.96</v>
      </c>
      <c r="L94" s="12">
        <v>2.8E-3</v>
      </c>
      <c r="M94" s="12">
        <v>3.8999999999999998E-3</v>
      </c>
      <c r="N94" s="12">
        <f>K94/'סכום נכסי הקרן'!$C$42</f>
        <v>5.9342511481069509E-4</v>
      </c>
    </row>
    <row r="95" spans="2:14">
      <c r="B95" s="10"/>
      <c r="C95" s="43"/>
      <c r="D95" s="10"/>
      <c r="E95" s="10"/>
      <c r="F95" s="10"/>
      <c r="G95" s="10"/>
      <c r="H95" s="10"/>
      <c r="I95" s="11"/>
      <c r="J95" s="11"/>
      <c r="K95" s="11"/>
      <c r="L95" s="12"/>
      <c r="M95" s="12"/>
      <c r="N95" s="12"/>
    </row>
    <row r="96" spans="2:14">
      <c r="B96" s="39" t="s">
        <v>750</v>
      </c>
      <c r="C96" s="40"/>
      <c r="D96" s="39"/>
      <c r="E96" s="39"/>
      <c r="F96" s="39"/>
      <c r="G96" s="39"/>
      <c r="H96" s="39"/>
      <c r="I96" s="42">
        <f>SUM(I97:I143)</f>
        <v>5887244.2799999993</v>
      </c>
      <c r="J96" s="42">
        <f t="shared" ref="J96:N96" si="4">SUM(J97:J143)</f>
        <v>324320.60000000003</v>
      </c>
      <c r="K96" s="42">
        <f t="shared" si="4"/>
        <v>75050.229999999981</v>
      </c>
      <c r="L96" s="42"/>
      <c r="M96" s="51">
        <f t="shared" si="4"/>
        <v>0.1368</v>
      </c>
      <c r="N96" s="51">
        <f t="shared" si="4"/>
        <v>2.06383303464008E-2</v>
      </c>
    </row>
    <row r="97" spans="2:14">
      <c r="B97" s="10" t="s">
        <v>751</v>
      </c>
      <c r="C97" s="43">
        <v>5010129</v>
      </c>
      <c r="D97" s="10" t="s">
        <v>138</v>
      </c>
      <c r="E97" s="10"/>
      <c r="F97" s="10">
        <v>501</v>
      </c>
      <c r="G97" s="10" t="s">
        <v>330</v>
      </c>
      <c r="H97" s="10" t="s">
        <v>96</v>
      </c>
      <c r="I97" s="11">
        <v>75733.460000000006</v>
      </c>
      <c r="J97" s="11">
        <v>5300</v>
      </c>
      <c r="K97" s="11">
        <v>4013.87</v>
      </c>
      <c r="L97" s="12">
        <v>3.5000000000000001E-3</v>
      </c>
      <c r="M97" s="12">
        <v>7.3000000000000001E-3</v>
      </c>
      <c r="N97" s="12">
        <f>K97/'סכום נכסי הקרן'!$C$42</f>
        <v>1.103788423133517E-3</v>
      </c>
    </row>
    <row r="98" spans="2:14">
      <c r="B98" s="10" t="s">
        <v>752</v>
      </c>
      <c r="C98" s="43">
        <v>371013</v>
      </c>
      <c r="D98" s="10" t="s">
        <v>138</v>
      </c>
      <c r="E98" s="10"/>
      <c r="F98" s="10">
        <v>371</v>
      </c>
      <c r="G98" s="10" t="s">
        <v>330</v>
      </c>
      <c r="H98" s="10" t="s">
        <v>96</v>
      </c>
      <c r="I98" s="11">
        <v>140413.19</v>
      </c>
      <c r="J98" s="11">
        <v>1449</v>
      </c>
      <c r="K98" s="11">
        <v>2034.59</v>
      </c>
      <c r="L98" s="12">
        <v>1.06E-2</v>
      </c>
      <c r="M98" s="12">
        <v>3.7000000000000002E-3</v>
      </c>
      <c r="N98" s="12">
        <f>K98/'סכום נכסי הקרן'!$C$42</f>
        <v>5.5949915862327942E-4</v>
      </c>
    </row>
    <row r="99" spans="2:14">
      <c r="B99" s="10" t="s">
        <v>753</v>
      </c>
      <c r="C99" s="43">
        <v>1123777</v>
      </c>
      <c r="D99" s="10" t="s">
        <v>138</v>
      </c>
      <c r="E99" s="10"/>
      <c r="F99" s="10">
        <v>1583</v>
      </c>
      <c r="G99" s="10" t="s">
        <v>330</v>
      </c>
      <c r="H99" s="10" t="s">
        <v>96</v>
      </c>
      <c r="I99" s="11">
        <v>66061</v>
      </c>
      <c r="J99" s="11">
        <v>4344</v>
      </c>
      <c r="K99" s="11">
        <v>2869.69</v>
      </c>
      <c r="L99" s="12">
        <v>5.1000000000000004E-3</v>
      </c>
      <c r="M99" s="12">
        <v>5.1999999999999998E-3</v>
      </c>
      <c r="N99" s="12">
        <f>K99/'סכום נכסי הקרן'!$C$42</f>
        <v>7.8914628525139641E-4</v>
      </c>
    </row>
    <row r="100" spans="2:14">
      <c r="B100" s="10" t="s">
        <v>754</v>
      </c>
      <c r="C100" s="43">
        <v>253013</v>
      </c>
      <c r="D100" s="10" t="s">
        <v>138</v>
      </c>
      <c r="E100" s="10"/>
      <c r="F100" s="10">
        <v>253</v>
      </c>
      <c r="G100" s="10" t="s">
        <v>330</v>
      </c>
      <c r="H100" s="10" t="s">
        <v>96</v>
      </c>
      <c r="I100" s="11">
        <v>105837</v>
      </c>
      <c r="J100" s="11">
        <v>1338</v>
      </c>
      <c r="K100" s="11">
        <v>1416.1</v>
      </c>
      <c r="L100" s="12">
        <v>7.4000000000000003E-3</v>
      </c>
      <c r="M100" s="12">
        <v>2.5999999999999999E-3</v>
      </c>
      <c r="N100" s="12">
        <f>K100/'סכום נכסי הקרן'!$C$42</f>
        <v>3.8941838823862592E-4</v>
      </c>
    </row>
    <row r="101" spans="2:14">
      <c r="B101" s="10" t="s">
        <v>755</v>
      </c>
      <c r="C101" s="43">
        <v>1082353</v>
      </c>
      <c r="D101" s="10" t="s">
        <v>138</v>
      </c>
      <c r="E101" s="10"/>
      <c r="F101" s="10">
        <v>2009</v>
      </c>
      <c r="G101" s="10" t="s">
        <v>330</v>
      </c>
      <c r="H101" s="10" t="s">
        <v>96</v>
      </c>
      <c r="I101" s="11">
        <v>2.0299999999999998</v>
      </c>
      <c r="J101" s="11">
        <v>46</v>
      </c>
      <c r="K101" s="11">
        <v>0</v>
      </c>
      <c r="L101" s="12">
        <v>0</v>
      </c>
      <c r="M101" s="12">
        <v>0</v>
      </c>
      <c r="N101" s="12">
        <f>K101/'סכום נכסי הקרן'!$C$42</f>
        <v>0</v>
      </c>
    </row>
    <row r="102" spans="2:14">
      <c r="B102" s="10" t="s">
        <v>756</v>
      </c>
      <c r="C102" s="43">
        <v>1092204</v>
      </c>
      <c r="D102" s="10" t="s">
        <v>138</v>
      </c>
      <c r="E102" s="10"/>
      <c r="F102" s="10">
        <v>1232</v>
      </c>
      <c r="G102" s="10" t="s">
        <v>330</v>
      </c>
      <c r="H102" s="10" t="s">
        <v>96</v>
      </c>
      <c r="I102" s="11">
        <v>159490</v>
      </c>
      <c r="J102" s="11">
        <v>3042</v>
      </c>
      <c r="K102" s="11">
        <v>4851.6899999999996</v>
      </c>
      <c r="L102" s="12">
        <v>1.2699999999999999E-2</v>
      </c>
      <c r="M102" s="12">
        <v>8.8000000000000005E-3</v>
      </c>
      <c r="N102" s="12">
        <f>K102/'סכום נכסי הקרן'!$C$42</f>
        <v>1.3341835322600514E-3</v>
      </c>
    </row>
    <row r="103" spans="2:14">
      <c r="B103" s="10" t="s">
        <v>757</v>
      </c>
      <c r="C103" s="43">
        <v>1099654</v>
      </c>
      <c r="D103" s="10" t="s">
        <v>138</v>
      </c>
      <c r="E103" s="10"/>
      <c r="F103" s="10">
        <v>2252</v>
      </c>
      <c r="G103" s="10" t="s">
        <v>184</v>
      </c>
      <c r="H103" s="10" t="s">
        <v>96</v>
      </c>
      <c r="I103" s="11">
        <v>31111</v>
      </c>
      <c r="J103" s="11">
        <v>1860</v>
      </c>
      <c r="K103" s="11">
        <v>578.66</v>
      </c>
      <c r="L103" s="12">
        <v>8.9999999999999998E-4</v>
      </c>
      <c r="M103" s="12">
        <v>1.1000000000000001E-3</v>
      </c>
      <c r="N103" s="12">
        <f>K103/'סכום נכסי הקרן'!$C$42</f>
        <v>1.5912777666701736E-4</v>
      </c>
    </row>
    <row r="104" spans="2:14">
      <c r="B104" s="10" t="s">
        <v>758</v>
      </c>
      <c r="C104" s="43">
        <v>382010</v>
      </c>
      <c r="D104" s="10" t="s">
        <v>138</v>
      </c>
      <c r="E104" s="10"/>
      <c r="F104" s="10">
        <v>382</v>
      </c>
      <c r="G104" s="10" t="s">
        <v>184</v>
      </c>
      <c r="H104" s="10" t="s">
        <v>96</v>
      </c>
      <c r="I104" s="11">
        <v>29136.7</v>
      </c>
      <c r="J104" s="11">
        <v>1269</v>
      </c>
      <c r="K104" s="11">
        <v>369.74</v>
      </c>
      <c r="L104" s="12">
        <v>5.9999999999999995E-4</v>
      </c>
      <c r="M104" s="12">
        <v>6.9999999999999999E-4</v>
      </c>
      <c r="N104" s="12">
        <f>K104/'סכום נכסי הקרן'!$C$42</f>
        <v>1.0167612094297689E-4</v>
      </c>
    </row>
    <row r="105" spans="2:14">
      <c r="B105" s="10" t="s">
        <v>759</v>
      </c>
      <c r="C105" s="43">
        <v>1101666</v>
      </c>
      <c r="D105" s="10" t="s">
        <v>138</v>
      </c>
      <c r="E105" s="10"/>
      <c r="F105" s="10">
        <v>1397</v>
      </c>
      <c r="G105" s="10" t="s">
        <v>184</v>
      </c>
      <c r="H105" s="10" t="s">
        <v>96</v>
      </c>
      <c r="I105" s="11">
        <v>169870</v>
      </c>
      <c r="J105" s="11">
        <v>192.9</v>
      </c>
      <c r="K105" s="11">
        <v>327.68</v>
      </c>
      <c r="L105" s="12">
        <v>3.0999999999999999E-3</v>
      </c>
      <c r="M105" s="12">
        <v>5.9999999999999995E-4</v>
      </c>
      <c r="N105" s="12">
        <f>K105/'סכום נכסי הקרן'!$C$42</f>
        <v>9.0109891574064645E-5</v>
      </c>
    </row>
    <row r="106" spans="2:14">
      <c r="B106" s="10" t="s">
        <v>760</v>
      </c>
      <c r="C106" s="43">
        <v>669010</v>
      </c>
      <c r="D106" s="10" t="s">
        <v>138</v>
      </c>
      <c r="E106" s="10"/>
      <c r="F106" s="10">
        <v>669</v>
      </c>
      <c r="G106" s="10" t="s">
        <v>184</v>
      </c>
      <c r="H106" s="10" t="s">
        <v>96</v>
      </c>
      <c r="I106" s="11">
        <v>105592</v>
      </c>
      <c r="J106" s="11">
        <v>391.8</v>
      </c>
      <c r="K106" s="11">
        <v>413.71</v>
      </c>
      <c r="L106" s="12">
        <v>9.1000000000000004E-3</v>
      </c>
      <c r="M106" s="12">
        <v>8.0000000000000004E-4</v>
      </c>
      <c r="N106" s="12">
        <f>K106/'סכום נכסי הקרן'!$C$42</f>
        <v>1.1376758802217493E-4</v>
      </c>
    </row>
    <row r="107" spans="2:14">
      <c r="B107" s="10" t="s">
        <v>761</v>
      </c>
      <c r="C107" s="43">
        <v>106013</v>
      </c>
      <c r="D107" s="10" t="s">
        <v>138</v>
      </c>
      <c r="E107" s="10"/>
      <c r="F107" s="10">
        <v>106</v>
      </c>
      <c r="G107" s="10" t="s">
        <v>239</v>
      </c>
      <c r="H107" s="10" t="s">
        <v>96</v>
      </c>
      <c r="I107" s="11">
        <v>364000</v>
      </c>
      <c r="J107" s="11">
        <v>26.1</v>
      </c>
      <c r="K107" s="11">
        <v>95</v>
      </c>
      <c r="L107" s="12">
        <v>1E-3</v>
      </c>
      <c r="M107" s="12">
        <v>2.0000000000000001E-4</v>
      </c>
      <c r="N107" s="12">
        <f>K107/'סכום נכסי הקרן'!$C$42</f>
        <v>2.6124388731494574E-5</v>
      </c>
    </row>
    <row r="108" spans="2:14">
      <c r="B108" s="10" t="s">
        <v>762</v>
      </c>
      <c r="C108" s="43">
        <v>1820083</v>
      </c>
      <c r="D108" s="10" t="s">
        <v>138</v>
      </c>
      <c r="E108" s="10"/>
      <c r="F108" s="10">
        <v>182</v>
      </c>
      <c r="G108" s="10" t="s">
        <v>239</v>
      </c>
      <c r="H108" s="10" t="s">
        <v>96</v>
      </c>
      <c r="I108" s="11">
        <v>447171</v>
      </c>
      <c r="J108" s="11">
        <v>560.9</v>
      </c>
      <c r="K108" s="11">
        <v>2508.1799999999998</v>
      </c>
      <c r="L108" s="12">
        <v>3.8999999999999998E-3</v>
      </c>
      <c r="M108" s="12">
        <v>4.5999999999999999E-3</v>
      </c>
      <c r="N108" s="12">
        <f>K108/'סכום נכסי הקרן'!$C$42</f>
        <v>6.8973336135326371E-4</v>
      </c>
    </row>
    <row r="109" spans="2:14">
      <c r="B109" s="10" t="s">
        <v>763</v>
      </c>
      <c r="C109" s="43">
        <v>1081116</v>
      </c>
      <c r="D109" s="10" t="s">
        <v>138</v>
      </c>
      <c r="E109" s="10"/>
      <c r="F109" s="10">
        <v>1039</v>
      </c>
      <c r="G109" s="10" t="s">
        <v>239</v>
      </c>
      <c r="H109" s="10" t="s">
        <v>96</v>
      </c>
      <c r="I109" s="11">
        <v>17529.97</v>
      </c>
      <c r="J109" s="11">
        <v>1313</v>
      </c>
      <c r="K109" s="11">
        <v>230.17</v>
      </c>
      <c r="L109" s="12">
        <v>1.9E-3</v>
      </c>
      <c r="M109" s="12">
        <v>4.0000000000000002E-4</v>
      </c>
      <c r="N109" s="12">
        <f>K109/'סכום נכסי הקרן'!$C$42</f>
        <v>6.329526899292743E-5</v>
      </c>
    </row>
    <row r="110" spans="2:14">
      <c r="B110" s="10" t="s">
        <v>764</v>
      </c>
      <c r="C110" s="43">
        <v>1094044</v>
      </c>
      <c r="D110" s="10" t="s">
        <v>138</v>
      </c>
      <c r="E110" s="10"/>
      <c r="F110" s="10">
        <v>1264</v>
      </c>
      <c r="G110" s="10" t="s">
        <v>239</v>
      </c>
      <c r="H110" s="10" t="s">
        <v>96</v>
      </c>
      <c r="I110" s="11">
        <v>124628</v>
      </c>
      <c r="J110" s="11">
        <v>645.4</v>
      </c>
      <c r="K110" s="11">
        <v>804.35</v>
      </c>
      <c r="L110" s="12">
        <v>2.2000000000000001E-3</v>
      </c>
      <c r="M110" s="12">
        <v>1.5E-3</v>
      </c>
      <c r="N110" s="12">
        <f>K110/'סכום נכסי הקרן'!$C$42</f>
        <v>2.2119107448608064E-4</v>
      </c>
    </row>
    <row r="111" spans="2:14">
      <c r="B111" s="10" t="s">
        <v>765</v>
      </c>
      <c r="C111" s="43">
        <v>611012</v>
      </c>
      <c r="D111" s="10" t="s">
        <v>138</v>
      </c>
      <c r="E111" s="10"/>
      <c r="F111" s="10">
        <v>611</v>
      </c>
      <c r="G111" s="10" t="s">
        <v>239</v>
      </c>
      <c r="H111" s="10" t="s">
        <v>96</v>
      </c>
      <c r="I111" s="11">
        <v>173881.7</v>
      </c>
      <c r="J111" s="11">
        <v>56.7</v>
      </c>
      <c r="K111" s="11">
        <v>98.59</v>
      </c>
      <c r="L111" s="12">
        <v>8.0000000000000004E-4</v>
      </c>
      <c r="M111" s="12">
        <v>2.0000000000000001E-4</v>
      </c>
      <c r="N111" s="12">
        <f>K111/'סכום נכסי הקרן'!$C$42</f>
        <v>2.7111615631979475E-5</v>
      </c>
    </row>
    <row r="112" spans="2:14">
      <c r="B112" s="10" t="s">
        <v>766</v>
      </c>
      <c r="C112" s="43">
        <v>6110472</v>
      </c>
      <c r="D112" s="10" t="s">
        <v>138</v>
      </c>
      <c r="E112" s="10"/>
      <c r="F112" s="10">
        <v>611</v>
      </c>
      <c r="G112" s="10" t="s">
        <v>239</v>
      </c>
      <c r="H112" s="10" t="s">
        <v>96</v>
      </c>
      <c r="I112" s="11">
        <v>0.63</v>
      </c>
      <c r="J112" s="11">
        <v>0</v>
      </c>
      <c r="K112" s="11">
        <v>0</v>
      </c>
      <c r="L112" s="7"/>
      <c r="M112" s="12">
        <v>0</v>
      </c>
      <c r="N112" s="12">
        <f>K112/'סכום נכסי הקרן'!$C$42</f>
        <v>0</v>
      </c>
    </row>
    <row r="113" spans="2:14">
      <c r="B113" s="10" t="s">
        <v>767</v>
      </c>
      <c r="C113" s="43">
        <v>1132315</v>
      </c>
      <c r="D113" s="10" t="s">
        <v>138</v>
      </c>
      <c r="E113" s="10"/>
      <c r="F113" s="10">
        <v>1618</v>
      </c>
      <c r="G113" s="10" t="s">
        <v>239</v>
      </c>
      <c r="H113" s="10" t="s">
        <v>96</v>
      </c>
      <c r="I113" s="11">
        <v>412167</v>
      </c>
      <c r="J113" s="11">
        <v>1032</v>
      </c>
      <c r="K113" s="11">
        <v>4253.5600000000004</v>
      </c>
      <c r="L113" s="12">
        <v>5.0000000000000001E-3</v>
      </c>
      <c r="M113" s="12">
        <v>7.7999999999999996E-3</v>
      </c>
      <c r="N113" s="12">
        <f>K113/'סכום נכסי הקרן'!$C$42</f>
        <v>1.1697016308709061E-3</v>
      </c>
    </row>
    <row r="114" spans="2:14">
      <c r="B114" s="10" t="s">
        <v>768</v>
      </c>
      <c r="C114" s="43">
        <v>686014</v>
      </c>
      <c r="D114" s="10" t="s">
        <v>138</v>
      </c>
      <c r="E114" s="10"/>
      <c r="F114" s="10">
        <v>686</v>
      </c>
      <c r="G114" s="10" t="s">
        <v>239</v>
      </c>
      <c r="H114" s="10" t="s">
        <v>96</v>
      </c>
      <c r="I114" s="11">
        <v>28164</v>
      </c>
      <c r="J114" s="11">
        <v>17760</v>
      </c>
      <c r="K114" s="11">
        <v>5001.93</v>
      </c>
      <c r="L114" s="12">
        <v>8.5000000000000006E-3</v>
      </c>
      <c r="M114" s="12">
        <v>9.1000000000000004E-3</v>
      </c>
      <c r="N114" s="12">
        <f>K114/'סכום נכסי הקרן'!$C$42</f>
        <v>1.3754985655549965E-3</v>
      </c>
    </row>
    <row r="115" spans="2:14">
      <c r="B115" s="10" t="s">
        <v>769</v>
      </c>
      <c r="C115" s="43">
        <v>1108638</v>
      </c>
      <c r="D115" s="10" t="s">
        <v>138</v>
      </c>
      <c r="E115" s="10"/>
      <c r="F115" s="10">
        <v>1502</v>
      </c>
      <c r="G115" s="10" t="s">
        <v>239</v>
      </c>
      <c r="H115" s="10" t="s">
        <v>96</v>
      </c>
      <c r="I115" s="11">
        <v>125</v>
      </c>
      <c r="J115" s="11">
        <v>183</v>
      </c>
      <c r="K115" s="11">
        <v>0.23</v>
      </c>
      <c r="L115" s="12">
        <v>0</v>
      </c>
      <c r="M115" s="12">
        <v>0</v>
      </c>
      <c r="N115" s="12">
        <f>K115/'סכום נכסי הקרן'!$C$42</f>
        <v>6.3248520086776334E-8</v>
      </c>
    </row>
    <row r="116" spans="2:14">
      <c r="B116" s="10" t="s">
        <v>770</v>
      </c>
      <c r="C116" s="43">
        <v>1105196</v>
      </c>
      <c r="D116" s="10" t="s">
        <v>138</v>
      </c>
      <c r="E116" s="10"/>
      <c r="F116" s="10">
        <v>1467</v>
      </c>
      <c r="G116" s="10" t="s">
        <v>239</v>
      </c>
      <c r="H116" s="10" t="s">
        <v>96</v>
      </c>
      <c r="I116" s="11">
        <v>421818</v>
      </c>
      <c r="J116" s="11">
        <v>629.9</v>
      </c>
      <c r="K116" s="11">
        <v>2657.03</v>
      </c>
      <c r="L116" s="12">
        <v>1.38E-2</v>
      </c>
      <c r="M116" s="12">
        <v>4.7999999999999996E-3</v>
      </c>
      <c r="N116" s="12">
        <f>K116/'סכום נכסי הקרן'!$C$42</f>
        <v>7.3066615359203193E-4</v>
      </c>
    </row>
    <row r="117" spans="2:14">
      <c r="B117" s="10" t="s">
        <v>771</v>
      </c>
      <c r="C117" s="43">
        <v>1109917</v>
      </c>
      <c r="D117" s="10" t="s">
        <v>138</v>
      </c>
      <c r="E117" s="10"/>
      <c r="F117" s="10">
        <v>1476</v>
      </c>
      <c r="G117" s="10" t="s">
        <v>239</v>
      </c>
      <c r="H117" s="10" t="s">
        <v>96</v>
      </c>
      <c r="I117" s="11">
        <v>3087.89</v>
      </c>
      <c r="J117" s="11">
        <v>650</v>
      </c>
      <c r="K117" s="11">
        <v>20.07</v>
      </c>
      <c r="L117" s="12">
        <v>5.0000000000000001E-4</v>
      </c>
      <c r="M117" s="12">
        <v>0</v>
      </c>
      <c r="N117" s="12">
        <f>K117/'סכום נכסי הקרן'!$C$42</f>
        <v>5.5191208614852224E-6</v>
      </c>
    </row>
    <row r="118" spans="2:14">
      <c r="B118" s="10" t="s">
        <v>772</v>
      </c>
      <c r="C118" s="43">
        <v>526012</v>
      </c>
      <c r="D118" s="10" t="s">
        <v>138</v>
      </c>
      <c r="E118" s="10"/>
      <c r="F118" s="10">
        <v>526</v>
      </c>
      <c r="G118" s="10" t="s">
        <v>239</v>
      </c>
      <c r="H118" s="10" t="s">
        <v>96</v>
      </c>
      <c r="I118" s="11">
        <v>1125531</v>
      </c>
      <c r="J118" s="11">
        <v>657.2</v>
      </c>
      <c r="K118" s="11">
        <v>7396.99</v>
      </c>
      <c r="L118" s="12">
        <v>4.2099999999999999E-2</v>
      </c>
      <c r="M118" s="12">
        <v>1.35E-2</v>
      </c>
      <c r="N118" s="12">
        <f>K118/'סכום נכסי הקרן'!$C$42</f>
        <v>2.0341246547681898E-3</v>
      </c>
    </row>
    <row r="119" spans="2:14">
      <c r="B119" s="10" t="s">
        <v>773</v>
      </c>
      <c r="C119" s="43">
        <v>800011</v>
      </c>
      <c r="D119" s="10" t="s">
        <v>138</v>
      </c>
      <c r="E119" s="10"/>
      <c r="F119" s="10">
        <v>800</v>
      </c>
      <c r="G119" s="10" t="s">
        <v>411</v>
      </c>
      <c r="H119" s="10" t="s">
        <v>96</v>
      </c>
      <c r="I119" s="11">
        <v>18912</v>
      </c>
      <c r="J119" s="11">
        <v>7300</v>
      </c>
      <c r="K119" s="11">
        <v>1380.58</v>
      </c>
      <c r="L119" s="12">
        <v>1.0800000000000001E-2</v>
      </c>
      <c r="M119" s="12">
        <v>2.5000000000000001E-3</v>
      </c>
      <c r="N119" s="12">
        <f>K119/'סכום נכסי הקרן'!$C$42</f>
        <v>3.7965061678870289E-4</v>
      </c>
    </row>
    <row r="120" spans="2:14">
      <c r="B120" s="10" t="s">
        <v>774</v>
      </c>
      <c r="C120" s="43">
        <v>1080324</v>
      </c>
      <c r="D120" s="10" t="s">
        <v>138</v>
      </c>
      <c r="E120" s="10"/>
      <c r="F120" s="10">
        <v>68</v>
      </c>
      <c r="G120" s="10" t="s">
        <v>411</v>
      </c>
      <c r="H120" s="10" t="s">
        <v>96</v>
      </c>
      <c r="I120" s="11">
        <v>39365</v>
      </c>
      <c r="J120" s="11">
        <v>5600</v>
      </c>
      <c r="K120" s="11">
        <v>2204.44</v>
      </c>
      <c r="L120" s="12">
        <v>2.7000000000000001E-3</v>
      </c>
      <c r="M120" s="12">
        <v>4.0000000000000001E-3</v>
      </c>
      <c r="N120" s="12">
        <f>K120/'סכום נכסי הקרן'!$C$42</f>
        <v>6.0620681573953579E-4</v>
      </c>
    </row>
    <row r="121" spans="2:14">
      <c r="B121" s="10" t="s">
        <v>775</v>
      </c>
      <c r="C121" s="43">
        <v>312017</v>
      </c>
      <c r="D121" s="10" t="s">
        <v>138</v>
      </c>
      <c r="E121" s="10"/>
      <c r="F121" s="10">
        <v>312</v>
      </c>
      <c r="G121" s="10" t="s">
        <v>411</v>
      </c>
      <c r="H121" s="10" t="s">
        <v>96</v>
      </c>
      <c r="I121" s="11">
        <v>0.87</v>
      </c>
      <c r="J121" s="11">
        <v>697.8</v>
      </c>
      <c r="K121" s="11">
        <v>0.01</v>
      </c>
      <c r="L121" s="12">
        <v>0</v>
      </c>
      <c r="M121" s="12">
        <v>0</v>
      </c>
      <c r="N121" s="12">
        <f>K121/'סכום נכסי הקרן'!$C$42</f>
        <v>2.749935655946797E-9</v>
      </c>
    </row>
    <row r="122" spans="2:14">
      <c r="B122" s="10" t="s">
        <v>776</v>
      </c>
      <c r="C122" s="43">
        <v>578013</v>
      </c>
      <c r="D122" s="10" t="s">
        <v>138</v>
      </c>
      <c r="E122" s="10"/>
      <c r="F122" s="10">
        <v>578</v>
      </c>
      <c r="G122" s="10" t="s">
        <v>403</v>
      </c>
      <c r="H122" s="10" t="s">
        <v>96</v>
      </c>
      <c r="I122" s="11">
        <v>1613</v>
      </c>
      <c r="J122" s="11">
        <v>15520</v>
      </c>
      <c r="K122" s="11">
        <v>250.34</v>
      </c>
      <c r="L122" s="12">
        <v>2.9999999999999997E-4</v>
      </c>
      <c r="M122" s="12">
        <v>5.0000000000000001E-4</v>
      </c>
      <c r="N122" s="12">
        <f>K122/'סכום נכסי הקרן'!$C$42</f>
        <v>6.8841889210972121E-5</v>
      </c>
    </row>
    <row r="123" spans="2:14">
      <c r="B123" s="10" t="s">
        <v>777</v>
      </c>
      <c r="C123" s="43">
        <v>1091651</v>
      </c>
      <c r="D123" s="10" t="s">
        <v>138</v>
      </c>
      <c r="E123" s="10"/>
      <c r="F123" s="10">
        <v>1219</v>
      </c>
      <c r="G123" s="10" t="s">
        <v>403</v>
      </c>
      <c r="H123" s="10" t="s">
        <v>96</v>
      </c>
      <c r="I123" s="11">
        <v>160380</v>
      </c>
      <c r="J123" s="11">
        <v>3881</v>
      </c>
      <c r="K123" s="11">
        <v>6224.35</v>
      </c>
      <c r="L123" s="12">
        <v>6.4999999999999997E-3</v>
      </c>
      <c r="M123" s="12">
        <v>1.1299999999999999E-2</v>
      </c>
      <c r="N123" s="12">
        <f>K123/'סכום נכסי הקרן'!$C$42</f>
        <v>1.7116562000092448E-3</v>
      </c>
    </row>
    <row r="124" spans="2:14">
      <c r="B124" s="10" t="s">
        <v>778</v>
      </c>
      <c r="C124" s="43">
        <v>338012</v>
      </c>
      <c r="D124" s="10" t="s">
        <v>138</v>
      </c>
      <c r="E124" s="10"/>
      <c r="F124" s="10">
        <v>338</v>
      </c>
      <c r="G124" s="10" t="s">
        <v>403</v>
      </c>
      <c r="H124" s="10" t="s">
        <v>96</v>
      </c>
      <c r="I124" s="11">
        <v>76901</v>
      </c>
      <c r="J124" s="11">
        <v>2340</v>
      </c>
      <c r="K124" s="11">
        <v>1799.48</v>
      </c>
      <c r="L124" s="12">
        <v>6.6E-3</v>
      </c>
      <c r="M124" s="12">
        <v>3.3E-3</v>
      </c>
      <c r="N124" s="12">
        <f>K124/'סכום נכסי הקרן'!$C$42</f>
        <v>4.9484542141631422E-4</v>
      </c>
    </row>
    <row r="125" spans="2:14">
      <c r="B125" s="10" t="s">
        <v>779</v>
      </c>
      <c r="C125" s="43">
        <v>328013</v>
      </c>
      <c r="D125" s="10" t="s">
        <v>138</v>
      </c>
      <c r="E125" s="10"/>
      <c r="F125" s="10">
        <v>328</v>
      </c>
      <c r="G125" s="10" t="s">
        <v>403</v>
      </c>
      <c r="H125" s="10" t="s">
        <v>96</v>
      </c>
      <c r="I125" s="11">
        <v>21885</v>
      </c>
      <c r="J125" s="11">
        <v>1875</v>
      </c>
      <c r="K125" s="11">
        <v>410.34</v>
      </c>
      <c r="L125" s="12">
        <v>1.9E-3</v>
      </c>
      <c r="M125" s="12">
        <v>6.9999999999999999E-4</v>
      </c>
      <c r="N125" s="12">
        <f>K125/'סכום נכסי הקרן'!$C$42</f>
        <v>1.1284085970612086E-4</v>
      </c>
    </row>
    <row r="126" spans="2:14">
      <c r="B126" s="10" t="s">
        <v>780</v>
      </c>
      <c r="C126" s="43">
        <v>1103571</v>
      </c>
      <c r="D126" s="10" t="s">
        <v>138</v>
      </c>
      <c r="E126" s="10"/>
      <c r="F126" s="10">
        <v>1427</v>
      </c>
      <c r="G126" s="10" t="s">
        <v>403</v>
      </c>
      <c r="H126" s="10" t="s">
        <v>96</v>
      </c>
      <c r="I126" s="11">
        <v>89555</v>
      </c>
      <c r="J126" s="11">
        <v>2786</v>
      </c>
      <c r="K126" s="11">
        <v>2495</v>
      </c>
      <c r="L126" s="12">
        <v>7.1000000000000004E-3</v>
      </c>
      <c r="M126" s="12">
        <v>4.4999999999999997E-3</v>
      </c>
      <c r="N126" s="12">
        <f>K126/'סכום נכסי הקרן'!$C$42</f>
        <v>6.8610894615872586E-4</v>
      </c>
    </row>
    <row r="127" spans="2:14">
      <c r="B127" s="10" t="s">
        <v>781</v>
      </c>
      <c r="C127" s="43">
        <v>1094119</v>
      </c>
      <c r="D127" s="10" t="s">
        <v>138</v>
      </c>
      <c r="E127" s="10"/>
      <c r="F127" s="10">
        <v>1267</v>
      </c>
      <c r="G127" s="10" t="s">
        <v>273</v>
      </c>
      <c r="H127" s="10" t="s">
        <v>96</v>
      </c>
      <c r="I127" s="11">
        <v>97968</v>
      </c>
      <c r="J127" s="11">
        <v>2108</v>
      </c>
      <c r="K127" s="11">
        <v>2065.17</v>
      </c>
      <c r="L127" s="12">
        <v>2.7000000000000001E-3</v>
      </c>
      <c r="M127" s="12">
        <v>3.8E-3</v>
      </c>
      <c r="N127" s="12">
        <f>K127/'סכום נכסי הקרן'!$C$42</f>
        <v>5.6790846185916473E-4</v>
      </c>
    </row>
    <row r="128" spans="2:14">
      <c r="B128" s="10" t="s">
        <v>782</v>
      </c>
      <c r="C128" s="43">
        <v>1103878</v>
      </c>
      <c r="D128" s="10" t="s">
        <v>138</v>
      </c>
      <c r="E128" s="10"/>
      <c r="F128" s="10">
        <v>1436</v>
      </c>
      <c r="G128" s="10" t="s">
        <v>273</v>
      </c>
      <c r="H128" s="10" t="s">
        <v>96</v>
      </c>
      <c r="I128" s="11">
        <v>379278</v>
      </c>
      <c r="J128" s="11">
        <v>845</v>
      </c>
      <c r="K128" s="11">
        <v>3204.9</v>
      </c>
      <c r="L128" s="12">
        <v>4.8999999999999998E-3</v>
      </c>
      <c r="M128" s="12">
        <v>5.7999999999999996E-3</v>
      </c>
      <c r="N128" s="12">
        <f>K128/'סכום נכסי הקרן'!$C$42</f>
        <v>8.8132687837438905E-4</v>
      </c>
    </row>
    <row r="129" spans="2:14">
      <c r="B129" s="10" t="s">
        <v>783</v>
      </c>
      <c r="C129" s="43">
        <v>632018</v>
      </c>
      <c r="D129" s="10" t="s">
        <v>138</v>
      </c>
      <c r="E129" s="10"/>
      <c r="F129" s="10">
        <v>632</v>
      </c>
      <c r="G129" s="10" t="s">
        <v>405</v>
      </c>
      <c r="H129" s="10" t="s">
        <v>96</v>
      </c>
      <c r="I129" s="11">
        <v>12225</v>
      </c>
      <c r="J129" s="11">
        <v>13150</v>
      </c>
      <c r="K129" s="11">
        <v>1607.59</v>
      </c>
      <c r="L129" s="12">
        <v>1.9E-3</v>
      </c>
      <c r="M129" s="12">
        <v>2.8999999999999998E-3</v>
      </c>
      <c r="N129" s="12">
        <f>K129/'סכום נכסי הקרן'!$C$42</f>
        <v>4.4207690611435115E-4</v>
      </c>
    </row>
    <row r="130" spans="2:14">
      <c r="B130" s="10" t="s">
        <v>784</v>
      </c>
      <c r="C130" s="43">
        <v>625012</v>
      </c>
      <c r="D130" s="10" t="s">
        <v>138</v>
      </c>
      <c r="E130" s="10"/>
      <c r="F130" s="10">
        <v>625</v>
      </c>
      <c r="G130" s="10" t="s">
        <v>405</v>
      </c>
      <c r="H130" s="10" t="s">
        <v>96</v>
      </c>
      <c r="I130" s="11">
        <v>375</v>
      </c>
      <c r="J130" s="11">
        <v>6140</v>
      </c>
      <c r="K130" s="11">
        <v>23.02</v>
      </c>
      <c r="L130" s="12">
        <v>0</v>
      </c>
      <c r="M130" s="12">
        <v>0</v>
      </c>
      <c r="N130" s="12">
        <f>K130/'סכום נכסי הקרן'!$C$42</f>
        <v>6.3303518799895268E-6</v>
      </c>
    </row>
    <row r="131" spans="2:14">
      <c r="B131" s="10" t="s">
        <v>785</v>
      </c>
      <c r="C131" s="43">
        <v>1126226</v>
      </c>
      <c r="D131" s="10" t="s">
        <v>138</v>
      </c>
      <c r="E131" s="10"/>
      <c r="F131" s="10">
        <v>1599</v>
      </c>
      <c r="G131" s="10" t="s">
        <v>405</v>
      </c>
      <c r="H131" s="10" t="s">
        <v>96</v>
      </c>
      <c r="I131" s="11">
        <v>260</v>
      </c>
      <c r="J131" s="11">
        <v>863</v>
      </c>
      <c r="K131" s="11">
        <v>2.2400000000000002</v>
      </c>
      <c r="L131" s="12">
        <v>1E-4</v>
      </c>
      <c r="M131" s="12">
        <v>0</v>
      </c>
      <c r="N131" s="12">
        <f>K131/'סכום נכסי הקרן'!$C$42</f>
        <v>6.159855869320826E-7</v>
      </c>
    </row>
    <row r="132" spans="2:14">
      <c r="B132" s="10" t="s">
        <v>786</v>
      </c>
      <c r="C132" s="43">
        <v>639013</v>
      </c>
      <c r="D132" s="10" t="s">
        <v>138</v>
      </c>
      <c r="E132" s="10"/>
      <c r="F132" s="10">
        <v>639</v>
      </c>
      <c r="G132" s="10" t="s">
        <v>307</v>
      </c>
      <c r="H132" s="10" t="s">
        <v>96</v>
      </c>
      <c r="I132" s="11">
        <v>71544</v>
      </c>
      <c r="J132" s="11">
        <v>1122</v>
      </c>
      <c r="K132" s="11">
        <v>802.72</v>
      </c>
      <c r="L132" s="12">
        <v>5.9999999999999995E-4</v>
      </c>
      <c r="M132" s="12">
        <v>1.5E-3</v>
      </c>
      <c r="N132" s="12">
        <f>K132/'סכום נכסי הקרן'!$C$42</f>
        <v>2.207428349741613E-4</v>
      </c>
    </row>
    <row r="133" spans="2:14">
      <c r="B133" s="10" t="s">
        <v>787</v>
      </c>
      <c r="C133" s="43">
        <v>612010</v>
      </c>
      <c r="D133" s="10" t="s">
        <v>138</v>
      </c>
      <c r="E133" s="10"/>
      <c r="F133" s="10">
        <v>612</v>
      </c>
      <c r="G133" s="10" t="s">
        <v>307</v>
      </c>
      <c r="H133" s="10" t="s">
        <v>96</v>
      </c>
      <c r="I133" s="11">
        <v>181508</v>
      </c>
      <c r="J133" s="11">
        <v>2062</v>
      </c>
      <c r="K133" s="11">
        <v>3742.69</v>
      </c>
      <c r="L133" s="12">
        <v>6.4000000000000003E-3</v>
      </c>
      <c r="M133" s="12">
        <v>6.7999999999999996E-3</v>
      </c>
      <c r="N133" s="12">
        <f>K133/'סכום נכסי הקרן'!$C$42</f>
        <v>1.0292156680155519E-3</v>
      </c>
    </row>
    <row r="134" spans="2:14">
      <c r="B134" s="10" t="s">
        <v>788</v>
      </c>
      <c r="C134" s="43">
        <v>339036</v>
      </c>
      <c r="D134" s="10" t="s">
        <v>138</v>
      </c>
      <c r="E134" s="10"/>
      <c r="F134" s="10">
        <v>339</v>
      </c>
      <c r="G134" s="10" t="s">
        <v>307</v>
      </c>
      <c r="H134" s="10" t="s">
        <v>96</v>
      </c>
      <c r="I134" s="11">
        <v>40135</v>
      </c>
      <c r="J134" s="11">
        <v>0</v>
      </c>
      <c r="K134" s="11">
        <v>0</v>
      </c>
      <c r="L134" s="12">
        <v>2.2000000000000001E-3</v>
      </c>
      <c r="M134" s="12">
        <v>0</v>
      </c>
      <c r="N134" s="12">
        <f>K134/'סכום נכסי הקרן'!$C$42</f>
        <v>0</v>
      </c>
    </row>
    <row r="135" spans="2:14">
      <c r="B135" s="10" t="s">
        <v>789</v>
      </c>
      <c r="C135" s="43">
        <v>1210079</v>
      </c>
      <c r="D135" s="10" t="s">
        <v>138</v>
      </c>
      <c r="E135" s="10"/>
      <c r="F135" s="10">
        <v>121</v>
      </c>
      <c r="G135" s="10" t="s">
        <v>307</v>
      </c>
      <c r="H135" s="10" t="s">
        <v>96</v>
      </c>
      <c r="I135" s="11">
        <v>154175</v>
      </c>
      <c r="J135" s="11">
        <v>510.6</v>
      </c>
      <c r="K135" s="11">
        <v>787.22</v>
      </c>
      <c r="L135" s="12">
        <v>1.9E-3</v>
      </c>
      <c r="M135" s="12">
        <v>1.4E-3</v>
      </c>
      <c r="N135" s="12">
        <f>K135/'סכום נכסי הקרן'!$C$42</f>
        <v>2.1648043470744378E-4</v>
      </c>
    </row>
    <row r="136" spans="2:14">
      <c r="B136" s="10" t="s">
        <v>790</v>
      </c>
      <c r="C136" s="43">
        <v>565010</v>
      </c>
      <c r="D136" s="10" t="s">
        <v>138</v>
      </c>
      <c r="E136" s="10"/>
      <c r="F136" s="10">
        <v>565</v>
      </c>
      <c r="G136" s="10" t="s">
        <v>401</v>
      </c>
      <c r="H136" s="10" t="s">
        <v>96</v>
      </c>
      <c r="I136" s="11">
        <v>2740</v>
      </c>
      <c r="J136" s="11">
        <v>211900</v>
      </c>
      <c r="K136" s="11">
        <v>5806.06</v>
      </c>
      <c r="L136" s="12">
        <v>5.0000000000000001E-4</v>
      </c>
      <c r="M136" s="12">
        <v>1.06E-2</v>
      </c>
      <c r="N136" s="12">
        <f>K136/'סכום נכסי הקרן'!$C$42</f>
        <v>1.5966291414566463E-3</v>
      </c>
    </row>
    <row r="137" spans="2:14">
      <c r="B137" s="10" t="s">
        <v>791</v>
      </c>
      <c r="C137" s="43">
        <v>1139013</v>
      </c>
      <c r="D137" s="10" t="s">
        <v>138</v>
      </c>
      <c r="E137" s="10"/>
      <c r="F137" s="10">
        <v>1561</v>
      </c>
      <c r="G137" s="10" t="s">
        <v>401</v>
      </c>
      <c r="H137" s="10" t="s">
        <v>96</v>
      </c>
      <c r="I137" s="11">
        <v>0.37</v>
      </c>
      <c r="J137" s="11">
        <v>316.7</v>
      </c>
      <c r="K137" s="11">
        <v>0</v>
      </c>
      <c r="L137" s="7"/>
      <c r="M137" s="12">
        <v>0</v>
      </c>
      <c r="N137" s="12">
        <f>K137/'סכום נכסי הקרן'!$C$42</f>
        <v>0</v>
      </c>
    </row>
    <row r="138" spans="2:14">
      <c r="B138" s="10" t="s">
        <v>792</v>
      </c>
      <c r="C138" s="43">
        <v>1121474</v>
      </c>
      <c r="D138" s="10" t="s">
        <v>138</v>
      </c>
      <c r="E138" s="10"/>
      <c r="F138" s="10">
        <v>1561</v>
      </c>
      <c r="G138" s="10" t="s">
        <v>401</v>
      </c>
      <c r="H138" s="10" t="s">
        <v>96</v>
      </c>
      <c r="I138" s="11">
        <v>25563.77</v>
      </c>
      <c r="J138" s="11">
        <v>126.2</v>
      </c>
      <c r="K138" s="11">
        <v>32.26</v>
      </c>
      <c r="L138" s="12">
        <v>1E-3</v>
      </c>
      <c r="M138" s="12">
        <v>1E-4</v>
      </c>
      <c r="N138" s="12">
        <f>K138/'סכום נכסי הקרן'!$C$42</f>
        <v>8.8712924260843665E-6</v>
      </c>
    </row>
    <row r="139" spans="2:14">
      <c r="B139" s="10" t="s">
        <v>793</v>
      </c>
      <c r="C139" s="43">
        <v>1101518</v>
      </c>
      <c r="D139" s="10" t="s">
        <v>138</v>
      </c>
      <c r="E139" s="10"/>
      <c r="F139" s="10">
        <v>1394</v>
      </c>
      <c r="G139" s="10" t="s">
        <v>184</v>
      </c>
      <c r="H139" s="10" t="s">
        <v>96</v>
      </c>
      <c r="I139" s="11">
        <v>109638.9</v>
      </c>
      <c r="J139" s="11">
        <v>347.5</v>
      </c>
      <c r="K139" s="11">
        <v>381</v>
      </c>
      <c r="L139" s="12">
        <v>1.9E-3</v>
      </c>
      <c r="M139" s="12">
        <v>6.9999999999999999E-4</v>
      </c>
      <c r="N139" s="12">
        <f>K139/'סכום נכסי הקרן'!$C$42</f>
        <v>1.0477254849157297E-4</v>
      </c>
    </row>
    <row r="140" spans="2:14">
      <c r="B140" s="10" t="s">
        <v>794</v>
      </c>
      <c r="C140" s="43">
        <v>1100718</v>
      </c>
      <c r="D140" s="10" t="s">
        <v>138</v>
      </c>
      <c r="E140" s="10"/>
      <c r="F140" s="10">
        <v>1386</v>
      </c>
      <c r="G140" s="10" t="s">
        <v>184</v>
      </c>
      <c r="H140" s="10" t="s">
        <v>96</v>
      </c>
      <c r="I140" s="11">
        <v>76405</v>
      </c>
      <c r="J140" s="11">
        <v>1623</v>
      </c>
      <c r="K140" s="11">
        <v>1240.05</v>
      </c>
      <c r="L140" s="12">
        <v>5.1999999999999998E-3</v>
      </c>
      <c r="M140" s="12">
        <v>2.3E-3</v>
      </c>
      <c r="N140" s="12">
        <f>K140/'סכום נכסי הקרן'!$C$42</f>
        <v>3.4100577101568258E-4</v>
      </c>
    </row>
    <row r="141" spans="2:14">
      <c r="B141" s="10" t="s">
        <v>795</v>
      </c>
      <c r="C141" s="43">
        <v>1104280</v>
      </c>
      <c r="D141" s="10" t="s">
        <v>138</v>
      </c>
      <c r="E141" s="10"/>
      <c r="F141" s="10">
        <v>1447</v>
      </c>
      <c r="G141" s="10" t="s">
        <v>184</v>
      </c>
      <c r="H141" s="10" t="s">
        <v>96</v>
      </c>
      <c r="I141" s="11">
        <v>181275</v>
      </c>
      <c r="J141" s="11">
        <v>240.5</v>
      </c>
      <c r="K141" s="11">
        <v>435.97</v>
      </c>
      <c r="L141" s="12">
        <v>1.2999999999999999E-3</v>
      </c>
      <c r="M141" s="12">
        <v>8.0000000000000004E-4</v>
      </c>
      <c r="N141" s="12">
        <f>K141/'סכום נכסי הקרן'!$C$42</f>
        <v>1.1988894479231253E-4</v>
      </c>
    </row>
    <row r="142" spans="2:14">
      <c r="B142" s="10" t="s">
        <v>796</v>
      </c>
      <c r="C142" s="43">
        <v>1096890</v>
      </c>
      <c r="D142" s="10" t="s">
        <v>138</v>
      </c>
      <c r="E142" s="10"/>
      <c r="F142" s="10">
        <v>1318</v>
      </c>
      <c r="G142" s="10" t="s">
        <v>184</v>
      </c>
      <c r="H142" s="10" t="s">
        <v>96</v>
      </c>
      <c r="I142" s="11">
        <v>20500</v>
      </c>
      <c r="J142" s="11">
        <v>56.6</v>
      </c>
      <c r="K142" s="11">
        <v>11.6</v>
      </c>
      <c r="L142" s="12">
        <v>1.1000000000000001E-3</v>
      </c>
      <c r="M142" s="12">
        <v>0</v>
      </c>
      <c r="N142" s="12">
        <f>K142/'סכום נכסי הקרן'!$C$42</f>
        <v>3.1899253608982846E-6</v>
      </c>
    </row>
    <row r="143" spans="2:14">
      <c r="B143" s="10" t="s">
        <v>797</v>
      </c>
      <c r="C143" s="43">
        <v>1120609</v>
      </c>
      <c r="D143" s="10" t="s">
        <v>138</v>
      </c>
      <c r="E143" s="10"/>
      <c r="F143" s="10">
        <v>1554</v>
      </c>
      <c r="G143" s="10" t="s">
        <v>184</v>
      </c>
      <c r="H143" s="10" t="s">
        <v>96</v>
      </c>
      <c r="I143" s="11">
        <v>123690.8</v>
      </c>
      <c r="J143" s="11">
        <v>162.80000000000001</v>
      </c>
      <c r="K143" s="11">
        <v>201.37</v>
      </c>
      <c r="L143" s="12">
        <v>1E-3</v>
      </c>
      <c r="M143" s="12">
        <v>4.0000000000000002E-4</v>
      </c>
      <c r="N143" s="12">
        <f>K143/'סכום נכסי הקרן'!$C$42</f>
        <v>5.5375454303800658E-5</v>
      </c>
    </row>
    <row r="144" spans="2:14">
      <c r="B144" s="10"/>
      <c r="C144" s="43"/>
      <c r="D144" s="10"/>
      <c r="E144" s="10"/>
      <c r="F144" s="10"/>
      <c r="G144" s="10"/>
      <c r="H144" s="10"/>
      <c r="I144" s="11"/>
      <c r="J144" s="11"/>
      <c r="K144" s="11"/>
      <c r="L144" s="12"/>
      <c r="M144" s="12"/>
      <c r="N144" s="12"/>
    </row>
    <row r="145" spans="2:14">
      <c r="B145" s="39" t="s">
        <v>798</v>
      </c>
      <c r="C145" s="40"/>
      <c r="D145" s="39"/>
      <c r="E145" s="39"/>
      <c r="F145" s="39"/>
      <c r="G145" s="39"/>
      <c r="H145" s="39"/>
      <c r="I145" s="42">
        <v>0</v>
      </c>
      <c r="J145" s="7"/>
      <c r="K145" s="42">
        <v>0</v>
      </c>
      <c r="L145" s="7"/>
      <c r="M145" s="41">
        <v>0</v>
      </c>
      <c r="N145" s="41">
        <v>0</v>
      </c>
    </row>
    <row r="146" spans="2:14">
      <c r="B146" s="39"/>
      <c r="C146" s="40"/>
      <c r="D146" s="39"/>
      <c r="E146" s="39"/>
      <c r="F146" s="39"/>
      <c r="G146" s="39"/>
      <c r="H146" s="39"/>
      <c r="I146" s="42"/>
      <c r="J146" s="7"/>
      <c r="K146" s="42"/>
      <c r="L146" s="7"/>
      <c r="M146" s="41"/>
      <c r="N146" s="41"/>
    </row>
    <row r="147" spans="2:14">
      <c r="B147" s="39" t="s">
        <v>799</v>
      </c>
      <c r="C147" s="40"/>
      <c r="D147" s="39"/>
      <c r="E147" s="39"/>
      <c r="F147" s="39"/>
      <c r="G147" s="39"/>
      <c r="H147" s="39"/>
      <c r="I147" s="42">
        <v>0</v>
      </c>
      <c r="J147" s="7"/>
      <c r="K147" s="42">
        <v>0</v>
      </c>
      <c r="L147" s="7"/>
      <c r="M147" s="41">
        <v>0</v>
      </c>
      <c r="N147" s="41">
        <v>0</v>
      </c>
    </row>
    <row r="148" spans="2:14">
      <c r="B148" s="39"/>
      <c r="C148" s="40"/>
      <c r="D148" s="39"/>
      <c r="E148" s="39"/>
      <c r="F148" s="39"/>
      <c r="G148" s="39"/>
      <c r="H148" s="39"/>
      <c r="I148" s="42"/>
      <c r="J148" s="7"/>
      <c r="K148" s="42"/>
      <c r="L148" s="7"/>
      <c r="M148" s="41"/>
      <c r="N148" s="41"/>
    </row>
    <row r="149" spans="2:14">
      <c r="B149" s="8" t="s">
        <v>800</v>
      </c>
      <c r="C149" s="38"/>
      <c r="D149" s="8"/>
      <c r="E149" s="8"/>
      <c r="F149" s="8"/>
      <c r="G149" s="8"/>
      <c r="H149" s="8"/>
      <c r="I149" s="13">
        <f>I151+I164</f>
        <v>463246.04</v>
      </c>
      <c r="J149" s="13">
        <f t="shared" ref="J149:N149" si="5">J151+J164</f>
        <v>0</v>
      </c>
      <c r="K149" s="13">
        <f t="shared" si="5"/>
        <v>23710.349699999999</v>
      </c>
      <c r="L149" s="13"/>
      <c r="M149" s="53">
        <f t="shared" si="5"/>
        <v>4.41E-2</v>
      </c>
      <c r="N149" s="53">
        <f t="shared" si="5"/>
        <v>6.5201936054997463E-3</v>
      </c>
    </row>
    <row r="150" spans="2:14">
      <c r="B150" s="8"/>
      <c r="C150" s="38"/>
      <c r="D150" s="8"/>
      <c r="E150" s="8"/>
      <c r="F150" s="8"/>
      <c r="G150" s="8"/>
      <c r="H150" s="8"/>
      <c r="I150" s="13"/>
      <c r="J150" s="7"/>
      <c r="K150" s="13"/>
      <c r="L150" s="7"/>
      <c r="M150" s="14"/>
      <c r="N150" s="14"/>
    </row>
    <row r="151" spans="2:14">
      <c r="B151" s="39" t="s">
        <v>801</v>
      </c>
      <c r="C151" s="40"/>
      <c r="D151" s="39"/>
      <c r="E151" s="39"/>
      <c r="F151" s="39"/>
      <c r="G151" s="39"/>
      <c r="H151" s="39"/>
      <c r="I151" s="42">
        <f>SUM(I152:I162)</f>
        <v>187575.76</v>
      </c>
      <c r="J151" s="42"/>
      <c r="K151" s="42">
        <f t="shared" ref="K151:N151" si="6">SUM(K152:K162)</f>
        <v>2828.2900000000004</v>
      </c>
      <c r="L151" s="42"/>
      <c r="M151" s="51">
        <f t="shared" si="6"/>
        <v>5.1999999999999998E-3</v>
      </c>
      <c r="N151" s="51">
        <f t="shared" si="6"/>
        <v>7.7776155163577685E-4</v>
      </c>
    </row>
    <row r="152" spans="2:14">
      <c r="B152" s="10" t="s">
        <v>802</v>
      </c>
      <c r="C152" s="43" t="s">
        <v>803</v>
      </c>
      <c r="D152" s="10" t="s">
        <v>184</v>
      </c>
      <c r="E152" s="10" t="s">
        <v>521</v>
      </c>
      <c r="F152" s="10"/>
      <c r="G152" s="10" t="s">
        <v>804</v>
      </c>
      <c r="H152" s="10" t="s">
        <v>48</v>
      </c>
      <c r="I152" s="11">
        <v>13000</v>
      </c>
      <c r="J152" s="11">
        <v>0</v>
      </c>
      <c r="K152" s="11">
        <v>0</v>
      </c>
      <c r="L152" s="7"/>
      <c r="M152" s="12">
        <v>0</v>
      </c>
      <c r="N152" s="12">
        <f>K152/'סכום נכסי הקרן'!$C$42</f>
        <v>0</v>
      </c>
    </row>
    <row r="153" spans="2:14">
      <c r="B153" s="10" t="s">
        <v>805</v>
      </c>
      <c r="C153" s="43" t="s">
        <v>806</v>
      </c>
      <c r="D153" s="10" t="s">
        <v>198</v>
      </c>
      <c r="E153" s="10" t="s">
        <v>521</v>
      </c>
      <c r="F153" s="10">
        <v>629</v>
      </c>
      <c r="G153" s="10" t="s">
        <v>804</v>
      </c>
      <c r="H153" s="10" t="s">
        <v>43</v>
      </c>
      <c r="I153" s="11">
        <v>16600</v>
      </c>
      <c r="J153" s="11">
        <v>3608</v>
      </c>
      <c r="K153" s="11">
        <v>2302.2800000000002</v>
      </c>
      <c r="L153" s="7"/>
      <c r="M153" s="12">
        <v>4.1999999999999997E-3</v>
      </c>
      <c r="N153" s="12">
        <f>K153/'סכום נכסי הקרן'!$C$42</f>
        <v>6.331121861973193E-4</v>
      </c>
    </row>
    <row r="154" spans="2:14">
      <c r="B154" s="10" t="s">
        <v>807</v>
      </c>
      <c r="C154" s="43" t="s">
        <v>808</v>
      </c>
      <c r="D154" s="10" t="s">
        <v>180</v>
      </c>
      <c r="E154" s="10" t="s">
        <v>521</v>
      </c>
      <c r="F154" s="10"/>
      <c r="G154" s="10" t="s">
        <v>547</v>
      </c>
      <c r="H154" s="10" t="s">
        <v>43</v>
      </c>
      <c r="I154" s="11">
        <v>5000</v>
      </c>
      <c r="J154" s="11">
        <v>0</v>
      </c>
      <c r="K154" s="11">
        <v>0</v>
      </c>
      <c r="L154" s="7"/>
      <c r="M154" s="12">
        <v>0</v>
      </c>
      <c r="N154" s="12">
        <f>K154/'סכום נכסי הקרן'!$C$42</f>
        <v>0</v>
      </c>
    </row>
    <row r="155" spans="2:14">
      <c r="B155" s="10" t="s">
        <v>809</v>
      </c>
      <c r="C155" s="43" t="s">
        <v>810</v>
      </c>
      <c r="D155" s="10" t="s">
        <v>198</v>
      </c>
      <c r="E155" s="10" t="s">
        <v>521</v>
      </c>
      <c r="F155" s="10"/>
      <c r="G155" s="10" t="s">
        <v>547</v>
      </c>
      <c r="H155" s="10" t="s">
        <v>43</v>
      </c>
      <c r="I155" s="11">
        <v>620</v>
      </c>
      <c r="J155" s="11">
        <v>8505</v>
      </c>
      <c r="K155" s="11">
        <v>202.7</v>
      </c>
      <c r="L155" s="12">
        <v>0</v>
      </c>
      <c r="M155" s="12">
        <v>4.0000000000000002E-4</v>
      </c>
      <c r="N155" s="12">
        <f>K155/'סכום נכסי הקרן'!$C$42</f>
        <v>5.5741195746041575E-5</v>
      </c>
    </row>
    <row r="156" spans="2:14">
      <c r="B156" s="10" t="s">
        <v>811</v>
      </c>
      <c r="C156" s="43" t="s">
        <v>812</v>
      </c>
      <c r="D156" s="10" t="s">
        <v>198</v>
      </c>
      <c r="E156" s="10" t="s">
        <v>521</v>
      </c>
      <c r="F156" s="10"/>
      <c r="G156" s="10" t="s">
        <v>547</v>
      </c>
      <c r="H156" s="10" t="s">
        <v>43</v>
      </c>
      <c r="I156" s="11">
        <v>950</v>
      </c>
      <c r="J156" s="11">
        <v>4543</v>
      </c>
      <c r="K156" s="11">
        <v>165.9</v>
      </c>
      <c r="L156" s="7"/>
      <c r="M156" s="12">
        <v>2.9999999999999997E-4</v>
      </c>
      <c r="N156" s="12">
        <f>K156/'סכום נכסי הקרן'!$C$42</f>
        <v>4.5621432532157364E-5</v>
      </c>
    </row>
    <row r="157" spans="2:14">
      <c r="B157" s="10" t="s">
        <v>813</v>
      </c>
      <c r="C157" s="43" t="s">
        <v>814</v>
      </c>
      <c r="D157" s="10" t="s">
        <v>180</v>
      </c>
      <c r="E157" s="10" t="s">
        <v>521</v>
      </c>
      <c r="F157" s="10"/>
      <c r="G157" s="10" t="s">
        <v>547</v>
      </c>
      <c r="H157" s="10" t="s">
        <v>43</v>
      </c>
      <c r="I157" s="11">
        <v>1000</v>
      </c>
      <c r="J157" s="11">
        <v>840</v>
      </c>
      <c r="K157" s="11">
        <v>32.29</v>
      </c>
      <c r="L157" s="7"/>
      <c r="M157" s="12">
        <v>1E-4</v>
      </c>
      <c r="N157" s="12">
        <f>K157/'סכום נכסי הקרן'!$C$42</f>
        <v>8.8795422330522082E-6</v>
      </c>
    </row>
    <row r="158" spans="2:14">
      <c r="B158" s="10" t="s">
        <v>815</v>
      </c>
      <c r="C158" s="43" t="s">
        <v>816</v>
      </c>
      <c r="D158" s="10" t="s">
        <v>180</v>
      </c>
      <c r="E158" s="10" t="s">
        <v>521</v>
      </c>
      <c r="F158" s="10"/>
      <c r="G158" s="10" t="s">
        <v>547</v>
      </c>
      <c r="H158" s="10" t="s">
        <v>43</v>
      </c>
      <c r="I158" s="11">
        <v>12187</v>
      </c>
      <c r="J158" s="11">
        <v>0</v>
      </c>
      <c r="K158" s="11">
        <v>0</v>
      </c>
      <c r="L158" s="7"/>
      <c r="M158" s="12">
        <v>0</v>
      </c>
      <c r="N158" s="12">
        <f>K158/'סכום נכסי הקרן'!$C$42</f>
        <v>0</v>
      </c>
    </row>
    <row r="159" spans="2:14">
      <c r="B159" s="10" t="s">
        <v>817</v>
      </c>
      <c r="C159" s="43" t="s">
        <v>818</v>
      </c>
      <c r="D159" s="10" t="s">
        <v>180</v>
      </c>
      <c r="E159" s="10" t="s">
        <v>521</v>
      </c>
      <c r="F159" s="10"/>
      <c r="G159" s="10" t="s">
        <v>547</v>
      </c>
      <c r="H159" s="10" t="s">
        <v>43</v>
      </c>
      <c r="I159" s="11">
        <v>1562</v>
      </c>
      <c r="J159" s="11">
        <v>0.5</v>
      </c>
      <c r="K159" s="11">
        <v>0.03</v>
      </c>
      <c r="L159" s="7"/>
      <c r="M159" s="12">
        <v>0</v>
      </c>
      <c r="N159" s="12">
        <f>K159/'סכום נכסי הקרן'!$C$42</f>
        <v>8.2498069678403915E-9</v>
      </c>
    </row>
    <row r="160" spans="2:14">
      <c r="B160" s="10" t="s">
        <v>819</v>
      </c>
      <c r="C160" s="43" t="s">
        <v>820</v>
      </c>
      <c r="D160" s="10" t="s">
        <v>180</v>
      </c>
      <c r="E160" s="10" t="s">
        <v>521</v>
      </c>
      <c r="F160" s="10"/>
      <c r="G160" s="10" t="s">
        <v>547</v>
      </c>
      <c r="H160" s="10" t="s">
        <v>43</v>
      </c>
      <c r="I160" s="11">
        <v>25020</v>
      </c>
      <c r="J160" s="11">
        <v>0.1</v>
      </c>
      <c r="K160" s="11">
        <v>0.1</v>
      </c>
      <c r="L160" s="7"/>
      <c r="M160" s="12">
        <v>0</v>
      </c>
      <c r="N160" s="12">
        <f>K160/'סכום נכסי הקרן'!$C$42</f>
        <v>2.7499356559467973E-8</v>
      </c>
    </row>
    <row r="161" spans="2:14">
      <c r="B161" s="10" t="s">
        <v>821</v>
      </c>
      <c r="C161" s="43" t="s">
        <v>822</v>
      </c>
      <c r="D161" s="10" t="s">
        <v>180</v>
      </c>
      <c r="E161" s="10" t="s">
        <v>521</v>
      </c>
      <c r="F161" s="10"/>
      <c r="G161" s="10" t="s">
        <v>571</v>
      </c>
      <c r="H161" s="10" t="s">
        <v>43</v>
      </c>
      <c r="I161" s="11">
        <v>111541</v>
      </c>
      <c r="J161" s="11">
        <v>29</v>
      </c>
      <c r="K161" s="11">
        <v>124.34</v>
      </c>
      <c r="L161" s="7"/>
      <c r="M161" s="12">
        <v>2.0000000000000001E-4</v>
      </c>
      <c r="N161" s="12">
        <f>K161/'סכום נכסי הקרן'!$C$42</f>
        <v>3.4192699946042479E-5</v>
      </c>
    </row>
    <row r="162" spans="2:14">
      <c r="B162" s="10" t="s">
        <v>823</v>
      </c>
      <c r="C162" s="43" t="s">
        <v>824</v>
      </c>
      <c r="D162" s="10" t="s">
        <v>180</v>
      </c>
      <c r="E162" s="10" t="s">
        <v>521</v>
      </c>
      <c r="F162" s="10"/>
      <c r="G162" s="10" t="s">
        <v>571</v>
      </c>
      <c r="H162" s="10" t="s">
        <v>48</v>
      </c>
      <c r="I162" s="11">
        <v>95.76</v>
      </c>
      <c r="J162" s="11">
        <v>169.81</v>
      </c>
      <c r="K162" s="11">
        <v>0.65</v>
      </c>
      <c r="L162" s="7"/>
      <c r="M162" s="12">
        <v>0</v>
      </c>
      <c r="N162" s="12">
        <f>K162/'סכום נכסי הקרן'!$C$42</f>
        <v>1.7874581763654182E-7</v>
      </c>
    </row>
    <row r="163" spans="2:14">
      <c r="B163" s="10"/>
      <c r="C163" s="43"/>
      <c r="D163" s="10"/>
      <c r="E163" s="10"/>
      <c r="F163" s="10"/>
      <c r="G163" s="10"/>
      <c r="H163" s="10"/>
      <c r="I163" s="11"/>
      <c r="J163" s="11"/>
      <c r="K163" s="11"/>
      <c r="L163" s="7"/>
      <c r="M163" s="12"/>
      <c r="N163" s="12"/>
    </row>
    <row r="164" spans="2:14">
      <c r="B164" s="39" t="s">
        <v>825</v>
      </c>
      <c r="C164" s="40"/>
      <c r="D164" s="39"/>
      <c r="E164" s="39"/>
      <c r="F164" s="39"/>
      <c r="G164" s="39"/>
      <c r="H164" s="39"/>
      <c r="I164" s="42">
        <f>SUM(I165:I209)</f>
        <v>275670.27999999997</v>
      </c>
      <c r="J164" s="42"/>
      <c r="K164" s="42">
        <f t="shared" ref="K164:N164" si="7">SUM(K165:K209)</f>
        <v>20882.059699999998</v>
      </c>
      <c r="L164" s="42"/>
      <c r="M164" s="51">
        <f t="shared" si="7"/>
        <v>3.8900000000000004E-2</v>
      </c>
      <c r="N164" s="51">
        <f t="shared" si="7"/>
        <v>5.7424320538639693E-3</v>
      </c>
    </row>
    <row r="165" spans="2:14">
      <c r="B165" s="10" t="s">
        <v>826</v>
      </c>
      <c r="C165" s="43" t="s">
        <v>827</v>
      </c>
      <c r="D165" s="10" t="s">
        <v>520</v>
      </c>
      <c r="E165" s="10" t="s">
        <v>521</v>
      </c>
      <c r="F165" s="10"/>
      <c r="G165" s="10" t="s">
        <v>239</v>
      </c>
      <c r="H165" s="10" t="s">
        <v>43</v>
      </c>
      <c r="I165" s="11">
        <v>37645</v>
      </c>
      <c r="J165" s="11">
        <v>11.5</v>
      </c>
      <c r="K165" s="11">
        <v>16.64</v>
      </c>
      <c r="L165" s="7"/>
      <c r="M165" s="12">
        <v>0</v>
      </c>
      <c r="N165" s="12">
        <f>K165/'סכום נכסי הקרן'!$C$42</f>
        <v>4.5758929314954706E-6</v>
      </c>
    </row>
    <row r="166" spans="2:14">
      <c r="B166" s="10" t="s">
        <v>828</v>
      </c>
      <c r="C166" s="43" t="s">
        <v>829</v>
      </c>
      <c r="D166" s="10" t="s">
        <v>180</v>
      </c>
      <c r="E166" s="10" t="s">
        <v>521</v>
      </c>
      <c r="F166" s="10"/>
      <c r="G166" s="10" t="s">
        <v>307</v>
      </c>
      <c r="H166" s="10" t="s">
        <v>43</v>
      </c>
      <c r="I166" s="11">
        <v>200</v>
      </c>
      <c r="J166" s="11">
        <v>17841</v>
      </c>
      <c r="K166" s="11">
        <v>137.16</v>
      </c>
      <c r="L166" s="7"/>
      <c r="M166" s="12">
        <v>2.9999999999999997E-4</v>
      </c>
      <c r="N166" s="12">
        <f>K166/'סכום נכסי הקרן'!$C$42</f>
        <v>3.7718117456966266E-5</v>
      </c>
    </row>
    <row r="167" spans="2:14">
      <c r="B167" s="10" t="s">
        <v>830</v>
      </c>
      <c r="C167" s="43" t="s">
        <v>831</v>
      </c>
      <c r="D167" s="10" t="s">
        <v>180</v>
      </c>
      <c r="E167" s="10" t="s">
        <v>521</v>
      </c>
      <c r="F167" s="10"/>
      <c r="G167" s="10" t="s">
        <v>568</v>
      </c>
      <c r="H167" s="10" t="s">
        <v>43</v>
      </c>
      <c r="I167" s="11">
        <v>18625</v>
      </c>
      <c r="J167" s="11">
        <v>1.3</v>
      </c>
      <c r="K167" s="11">
        <v>0.93</v>
      </c>
      <c r="L167" s="7"/>
      <c r="M167" s="12">
        <v>0</v>
      </c>
      <c r="N167" s="12">
        <f>K167/'סכום נכסי הקרן'!$C$42</f>
        <v>2.5574401600305217E-7</v>
      </c>
    </row>
    <row r="168" spans="2:14">
      <c r="B168" s="10" t="s">
        <v>832</v>
      </c>
      <c r="C168" s="43" t="s">
        <v>833</v>
      </c>
      <c r="D168" s="10" t="s">
        <v>520</v>
      </c>
      <c r="E168" s="10" t="s">
        <v>521</v>
      </c>
      <c r="F168" s="10"/>
      <c r="G168" s="10" t="s">
        <v>568</v>
      </c>
      <c r="H168" s="10" t="s">
        <v>45</v>
      </c>
      <c r="I168" s="11">
        <v>4500</v>
      </c>
      <c r="J168" s="11">
        <v>1</v>
      </c>
      <c r="K168" s="11">
        <v>0.21</v>
      </c>
      <c r="L168" s="7"/>
      <c r="M168" s="12">
        <v>0</v>
      </c>
      <c r="N168" s="12">
        <f>K168/'סכום נכסי הקרן'!$C$42</f>
        <v>5.7748648774882737E-8</v>
      </c>
    </row>
    <row r="169" spans="2:14">
      <c r="B169" s="10" t="s">
        <v>834</v>
      </c>
      <c r="C169" s="43" t="s">
        <v>835</v>
      </c>
      <c r="D169" s="10" t="s">
        <v>180</v>
      </c>
      <c r="E169" s="10" t="s">
        <v>521</v>
      </c>
      <c r="F169" s="10"/>
      <c r="G169" s="10" t="s">
        <v>568</v>
      </c>
      <c r="H169" s="10" t="s">
        <v>43</v>
      </c>
      <c r="I169" s="11">
        <v>17600</v>
      </c>
      <c r="J169" s="11">
        <v>1033</v>
      </c>
      <c r="K169" s="11">
        <v>698.87</v>
      </c>
      <c r="L169" s="7"/>
      <c r="M169" s="12">
        <v>1.2999999999999999E-3</v>
      </c>
      <c r="N169" s="12">
        <f>K169/'סכום נכסי הקרן'!$C$42</f>
        <v>1.9218475318715382E-4</v>
      </c>
    </row>
    <row r="170" spans="2:14">
      <c r="B170" s="10" t="s">
        <v>836</v>
      </c>
      <c r="C170" s="43" t="s">
        <v>837</v>
      </c>
      <c r="D170" s="10" t="s">
        <v>180</v>
      </c>
      <c r="E170" s="10" t="s">
        <v>521</v>
      </c>
      <c r="F170" s="10"/>
      <c r="G170" s="10" t="s">
        <v>838</v>
      </c>
      <c r="H170" s="10" t="s">
        <v>43</v>
      </c>
      <c r="I170" s="11">
        <v>345</v>
      </c>
      <c r="J170" s="11">
        <v>0.1</v>
      </c>
      <c r="K170" s="11">
        <v>0</v>
      </c>
      <c r="L170" s="7"/>
      <c r="M170" s="12">
        <v>0</v>
      </c>
      <c r="N170" s="12">
        <f>K170/'סכום נכסי הקרן'!$C$42</f>
        <v>0</v>
      </c>
    </row>
    <row r="171" spans="2:14">
      <c r="B171" s="10" t="s">
        <v>839</v>
      </c>
      <c r="C171" s="43" t="s">
        <v>840</v>
      </c>
      <c r="D171" s="10" t="s">
        <v>180</v>
      </c>
      <c r="E171" s="10" t="s">
        <v>521</v>
      </c>
      <c r="F171" s="10"/>
      <c r="G171" s="10" t="s">
        <v>838</v>
      </c>
      <c r="H171" s="10" t="s">
        <v>43</v>
      </c>
      <c r="I171" s="11">
        <v>230</v>
      </c>
      <c r="J171" s="11">
        <v>12883</v>
      </c>
      <c r="K171" s="11">
        <v>113.9</v>
      </c>
      <c r="L171" s="7"/>
      <c r="M171" s="12">
        <v>2.0000000000000001E-4</v>
      </c>
      <c r="N171" s="12">
        <f>K171/'סכום נכסי הקרן'!$C$42</f>
        <v>3.1321767121234022E-5</v>
      </c>
    </row>
    <row r="172" spans="2:14">
      <c r="B172" s="10" t="s">
        <v>841</v>
      </c>
      <c r="C172" s="43" t="s">
        <v>842</v>
      </c>
      <c r="D172" s="10" t="s">
        <v>180</v>
      </c>
      <c r="E172" s="10" t="s">
        <v>521</v>
      </c>
      <c r="F172" s="10"/>
      <c r="G172" s="10" t="s">
        <v>636</v>
      </c>
      <c r="H172" s="10" t="s">
        <v>43</v>
      </c>
      <c r="I172" s="11">
        <v>9000</v>
      </c>
      <c r="J172" s="11">
        <v>4157</v>
      </c>
      <c r="K172" s="11">
        <v>1438.16</v>
      </c>
      <c r="L172" s="7"/>
      <c r="M172" s="12">
        <v>2.5999999999999999E-3</v>
      </c>
      <c r="N172" s="12">
        <f>K172/'סכום נכסי הקרן'!$C$42</f>
        <v>3.9548474629564462E-4</v>
      </c>
    </row>
    <row r="173" spans="2:14">
      <c r="B173" s="10" t="s">
        <v>843</v>
      </c>
      <c r="C173" s="43" t="s">
        <v>844</v>
      </c>
      <c r="D173" s="10" t="s">
        <v>180</v>
      </c>
      <c r="E173" s="10" t="s">
        <v>521</v>
      </c>
      <c r="F173" s="10"/>
      <c r="G173" s="10" t="s">
        <v>636</v>
      </c>
      <c r="H173" s="10" t="s">
        <v>43</v>
      </c>
      <c r="I173" s="11">
        <v>1050</v>
      </c>
      <c r="J173" s="11">
        <v>3844</v>
      </c>
      <c r="K173" s="11">
        <v>155.15</v>
      </c>
      <c r="L173" s="7"/>
      <c r="M173" s="12">
        <v>2.9999999999999997E-4</v>
      </c>
      <c r="N173" s="12">
        <f>K173/'סכום נכסי הקרן'!$C$42</f>
        <v>4.2665251702014556E-5</v>
      </c>
    </row>
    <row r="174" spans="2:14">
      <c r="B174" s="10" t="s">
        <v>845</v>
      </c>
      <c r="C174" s="43" t="s">
        <v>846</v>
      </c>
      <c r="D174" s="10" t="s">
        <v>180</v>
      </c>
      <c r="E174" s="10" t="s">
        <v>521</v>
      </c>
      <c r="F174" s="10"/>
      <c r="G174" s="10" t="s">
        <v>847</v>
      </c>
      <c r="H174" s="10" t="s">
        <v>43</v>
      </c>
      <c r="I174" s="11">
        <v>10000</v>
      </c>
      <c r="J174" s="11">
        <v>3514</v>
      </c>
      <c r="K174" s="11">
        <v>1350.78</v>
      </c>
      <c r="L174" s="7"/>
      <c r="M174" s="12">
        <v>2.5000000000000001E-3</v>
      </c>
      <c r="N174" s="12">
        <f>K174/'סכום נכסי הקרן'!$C$42</f>
        <v>3.7145580853398144E-4</v>
      </c>
    </row>
    <row r="175" spans="2:14">
      <c r="B175" s="10" t="s">
        <v>848</v>
      </c>
      <c r="C175" s="43" t="s">
        <v>849</v>
      </c>
      <c r="D175" s="10" t="s">
        <v>180</v>
      </c>
      <c r="E175" s="10" t="s">
        <v>521</v>
      </c>
      <c r="F175" s="10"/>
      <c r="G175" s="10" t="s">
        <v>850</v>
      </c>
      <c r="H175" s="10" t="s">
        <v>43</v>
      </c>
      <c r="I175" s="11">
        <v>1400</v>
      </c>
      <c r="J175" s="11">
        <v>9087</v>
      </c>
      <c r="K175" s="11">
        <v>489.03</v>
      </c>
      <c r="L175" s="7"/>
      <c r="M175" s="12">
        <v>8.9999999999999998E-4</v>
      </c>
      <c r="N175" s="12">
        <f>K175/'סכום נכסי הקרן'!$C$42</f>
        <v>1.3448010338276621E-4</v>
      </c>
    </row>
    <row r="176" spans="2:14">
      <c r="B176" s="10" t="s">
        <v>851</v>
      </c>
      <c r="C176" s="43" t="s">
        <v>852</v>
      </c>
      <c r="D176" s="10" t="s">
        <v>198</v>
      </c>
      <c r="E176" s="10" t="s">
        <v>521</v>
      </c>
      <c r="F176" s="10"/>
      <c r="G176" s="10" t="s">
        <v>576</v>
      </c>
      <c r="H176" s="10" t="s">
        <v>43</v>
      </c>
      <c r="I176" s="11">
        <v>600</v>
      </c>
      <c r="J176" s="11">
        <v>5397</v>
      </c>
      <c r="K176" s="11">
        <v>124.48</v>
      </c>
      <c r="L176" s="7"/>
      <c r="M176" s="12">
        <v>2.0000000000000001E-4</v>
      </c>
      <c r="N176" s="12">
        <f>K176/'סכום נכסי הקרן'!$C$42</f>
        <v>3.4231199045225734E-5</v>
      </c>
    </row>
    <row r="177" spans="2:14">
      <c r="B177" s="10" t="s">
        <v>853</v>
      </c>
      <c r="C177" s="43" t="s">
        <v>854</v>
      </c>
      <c r="D177" s="10" t="s">
        <v>180</v>
      </c>
      <c r="E177" s="10" t="s">
        <v>521</v>
      </c>
      <c r="F177" s="10"/>
      <c r="G177" s="10" t="s">
        <v>855</v>
      </c>
      <c r="H177" s="10" t="s">
        <v>43</v>
      </c>
      <c r="I177" s="11">
        <v>528</v>
      </c>
      <c r="J177" s="11">
        <v>1841</v>
      </c>
      <c r="K177" s="11">
        <v>37.369999999999997</v>
      </c>
      <c r="L177" s="7"/>
      <c r="M177" s="12">
        <v>1E-4</v>
      </c>
      <c r="N177" s="12">
        <f>K177/'סכום נכסי הקרן'!$C$42</f>
        <v>1.0276509546273181E-5</v>
      </c>
    </row>
    <row r="178" spans="2:14">
      <c r="B178" s="10" t="s">
        <v>856</v>
      </c>
      <c r="C178" s="43" t="s">
        <v>857</v>
      </c>
      <c r="D178" s="10" t="s">
        <v>180</v>
      </c>
      <c r="E178" s="10" t="s">
        <v>521</v>
      </c>
      <c r="F178" s="10"/>
      <c r="G178" s="10" t="s">
        <v>855</v>
      </c>
      <c r="H178" s="10" t="s">
        <v>43</v>
      </c>
      <c r="I178" s="11">
        <v>1024</v>
      </c>
      <c r="J178" s="11">
        <v>8435</v>
      </c>
      <c r="K178" s="11">
        <v>332.02</v>
      </c>
      <c r="L178" s="7"/>
      <c r="M178" s="12">
        <v>5.9999999999999995E-4</v>
      </c>
      <c r="N178" s="12">
        <f>K178/'סכום נכסי הקרן'!$C$42</f>
        <v>9.1303363648745559E-5</v>
      </c>
    </row>
    <row r="179" spans="2:14">
      <c r="B179" s="10" t="s">
        <v>858</v>
      </c>
      <c r="C179" s="43" t="s">
        <v>859</v>
      </c>
      <c r="D179" s="10" t="s">
        <v>180</v>
      </c>
      <c r="E179" s="10" t="s">
        <v>521</v>
      </c>
      <c r="F179" s="10"/>
      <c r="G179" s="10" t="s">
        <v>558</v>
      </c>
      <c r="H179" s="10" t="s">
        <v>43</v>
      </c>
      <c r="I179" s="11">
        <v>1678.03</v>
      </c>
      <c r="J179" s="11">
        <v>7154</v>
      </c>
      <c r="K179" s="11">
        <v>461.46</v>
      </c>
      <c r="L179" s="7"/>
      <c r="M179" s="12">
        <v>8.0000000000000004E-4</v>
      </c>
      <c r="N179" s="12">
        <f>K179/'סכום נכסי הקרן'!$C$42</f>
        <v>1.268985307793209E-4</v>
      </c>
    </row>
    <row r="180" spans="2:14">
      <c r="B180" s="10" t="s">
        <v>860</v>
      </c>
      <c r="C180" s="43" t="s">
        <v>861</v>
      </c>
      <c r="D180" s="10" t="s">
        <v>180</v>
      </c>
      <c r="E180" s="10" t="s">
        <v>521</v>
      </c>
      <c r="F180" s="10"/>
      <c r="G180" s="10" t="s">
        <v>558</v>
      </c>
      <c r="H180" s="10" t="s">
        <v>43</v>
      </c>
      <c r="I180" s="11">
        <v>530</v>
      </c>
      <c r="J180" s="11">
        <v>3249</v>
      </c>
      <c r="K180" s="11">
        <v>66.19</v>
      </c>
      <c r="L180" s="7"/>
      <c r="M180" s="12">
        <v>1E-4</v>
      </c>
      <c r="N180" s="12">
        <f>K180/'סכום נכסי הקרן'!$C$42</f>
        <v>1.8201824106711848E-5</v>
      </c>
    </row>
    <row r="181" spans="2:14">
      <c r="B181" s="10" t="s">
        <v>802</v>
      </c>
      <c r="C181" s="43" t="s">
        <v>803</v>
      </c>
      <c r="D181" s="10" t="s">
        <v>184</v>
      </c>
      <c r="E181" s="10" t="s">
        <v>521</v>
      </c>
      <c r="F181" s="10"/>
      <c r="G181" s="10" t="s">
        <v>804</v>
      </c>
      <c r="H181" s="10" t="s">
        <v>48</v>
      </c>
      <c r="I181" s="11">
        <v>27000</v>
      </c>
      <c r="J181" s="11">
        <v>10</v>
      </c>
      <c r="K181" s="11">
        <v>10.85</v>
      </c>
      <c r="L181" s="7"/>
      <c r="M181" s="12">
        <v>0</v>
      </c>
      <c r="N181" s="12">
        <f>K181/'סכום נכסי הקרן'!$C$42</f>
        <v>2.9836801867022748E-6</v>
      </c>
    </row>
    <row r="182" spans="2:14">
      <c r="B182" s="10" t="s">
        <v>862</v>
      </c>
      <c r="C182" s="43" t="s">
        <v>863</v>
      </c>
      <c r="D182" s="10" t="s">
        <v>180</v>
      </c>
      <c r="E182" s="10" t="s">
        <v>521</v>
      </c>
      <c r="F182" s="10"/>
      <c r="G182" s="10" t="s">
        <v>804</v>
      </c>
      <c r="H182" s="10" t="s">
        <v>48</v>
      </c>
      <c r="I182" s="11">
        <v>51460</v>
      </c>
      <c r="J182" s="11">
        <v>1</v>
      </c>
      <c r="K182" s="11">
        <v>2.0699999999999998</v>
      </c>
      <c r="L182" s="7"/>
      <c r="M182" s="12">
        <v>0</v>
      </c>
      <c r="N182" s="12">
        <f>K182/'סכום נכסי הקרן'!$C$42</f>
        <v>5.6923668078098699E-7</v>
      </c>
    </row>
    <row r="183" spans="2:14">
      <c r="B183" s="10" t="s">
        <v>864</v>
      </c>
      <c r="C183" s="43" t="s">
        <v>865</v>
      </c>
      <c r="D183" s="10" t="s">
        <v>198</v>
      </c>
      <c r="E183" s="10" t="s">
        <v>521</v>
      </c>
      <c r="F183" s="10"/>
      <c r="G183" s="10" t="s">
        <v>804</v>
      </c>
      <c r="H183" s="10" t="s">
        <v>43</v>
      </c>
      <c r="I183" s="11">
        <v>7</v>
      </c>
      <c r="J183" s="11">
        <v>37.5</v>
      </c>
      <c r="K183" s="11">
        <v>0.01</v>
      </c>
      <c r="L183" s="7"/>
      <c r="M183" s="12">
        <v>0</v>
      </c>
      <c r="N183" s="12">
        <f>K183/'סכום נכסי הקרן'!$C$42</f>
        <v>2.749935655946797E-9</v>
      </c>
    </row>
    <row r="184" spans="2:14">
      <c r="B184" s="10" t="s">
        <v>866</v>
      </c>
      <c r="C184" s="43" t="s">
        <v>867</v>
      </c>
      <c r="D184" s="10" t="s">
        <v>180</v>
      </c>
      <c r="E184" s="10" t="s">
        <v>521</v>
      </c>
      <c r="F184" s="10"/>
      <c r="G184" s="10" t="s">
        <v>565</v>
      </c>
      <c r="H184" s="10" t="s">
        <v>43</v>
      </c>
      <c r="I184" s="11">
        <v>16765.75</v>
      </c>
      <c r="J184" s="11">
        <v>882</v>
      </c>
      <c r="K184" s="11">
        <v>568.42999999999995</v>
      </c>
      <c r="L184" s="7"/>
      <c r="M184" s="12">
        <v>1E-3</v>
      </c>
      <c r="N184" s="12">
        <f>K184/'סכום נכסי הקרן'!$C$42</f>
        <v>1.5631459249098377E-4</v>
      </c>
    </row>
    <row r="185" spans="2:14">
      <c r="B185" s="10" t="s">
        <v>868</v>
      </c>
      <c r="C185" s="43" t="s">
        <v>869</v>
      </c>
      <c r="D185" s="10" t="s">
        <v>180</v>
      </c>
      <c r="E185" s="10" t="s">
        <v>521</v>
      </c>
      <c r="F185" s="10"/>
      <c r="G185" s="10" t="s">
        <v>540</v>
      </c>
      <c r="H185" s="10" t="s">
        <v>43</v>
      </c>
      <c r="I185" s="11">
        <v>285.32</v>
      </c>
      <c r="J185" s="11">
        <v>23818</v>
      </c>
      <c r="K185" s="11">
        <v>261.23</v>
      </c>
      <c r="L185" s="7"/>
      <c r="M185" s="12">
        <v>5.0000000000000001E-4</v>
      </c>
      <c r="N185" s="12">
        <f>K185/'סכום נכסי הקרן'!$C$42</f>
        <v>7.1836569140298185E-5</v>
      </c>
    </row>
    <row r="186" spans="2:14">
      <c r="B186" s="10" t="s">
        <v>870</v>
      </c>
      <c r="C186" s="43" t="s">
        <v>871</v>
      </c>
      <c r="D186" s="10" t="s">
        <v>180</v>
      </c>
      <c r="E186" s="10" t="s">
        <v>521</v>
      </c>
      <c r="F186" s="10"/>
      <c r="G186" s="10" t="s">
        <v>540</v>
      </c>
      <c r="H186" s="10" t="s">
        <v>43</v>
      </c>
      <c r="I186" s="11">
        <v>2060</v>
      </c>
      <c r="J186" s="11">
        <v>10377</v>
      </c>
      <c r="K186" s="11">
        <v>821.72</v>
      </c>
      <c r="L186" s="7"/>
      <c r="M186" s="12">
        <v>1.5E-3</v>
      </c>
      <c r="N186" s="12">
        <f>K186/'סכום נכסי הקרן'!$C$42</f>
        <v>2.2596771272046022E-4</v>
      </c>
    </row>
    <row r="187" spans="2:14">
      <c r="B187" s="10" t="s">
        <v>872</v>
      </c>
      <c r="C187" s="43" t="s">
        <v>873</v>
      </c>
      <c r="D187" s="10" t="s">
        <v>180</v>
      </c>
      <c r="E187" s="10" t="s">
        <v>521</v>
      </c>
      <c r="F187" s="10"/>
      <c r="G187" s="10" t="s">
        <v>579</v>
      </c>
      <c r="H187" s="10" t="s">
        <v>43</v>
      </c>
      <c r="I187" s="11">
        <v>10400</v>
      </c>
      <c r="J187" s="11">
        <v>6550</v>
      </c>
      <c r="K187" s="11">
        <f>2618.53-200</f>
        <v>2418.5300000000002</v>
      </c>
      <c r="L187" s="7"/>
      <c r="M187" s="12">
        <v>4.7999999999999996E-3</v>
      </c>
      <c r="N187" s="12">
        <f>K187/'סכום נכסי הקרן'!$C$42</f>
        <v>6.6508018819770077E-4</v>
      </c>
    </row>
    <row r="188" spans="2:14">
      <c r="B188" s="10" t="s">
        <v>826</v>
      </c>
      <c r="C188" s="43" t="s">
        <v>874</v>
      </c>
      <c r="D188" s="10" t="s">
        <v>520</v>
      </c>
      <c r="E188" s="10" t="s">
        <v>521</v>
      </c>
      <c r="F188" s="10"/>
      <c r="G188" s="10" t="s">
        <v>624</v>
      </c>
      <c r="H188" s="10" t="s">
        <v>43</v>
      </c>
      <c r="I188" s="11">
        <v>119</v>
      </c>
      <c r="J188" s="11">
        <v>15.63</v>
      </c>
      <c r="K188" s="11">
        <v>7.0000000000000007E-2</v>
      </c>
      <c r="L188" s="7"/>
      <c r="M188" s="12">
        <v>0</v>
      </c>
      <c r="N188" s="12">
        <f>K188/'סכום נכסי הקרן'!$C$42</f>
        <v>1.9249549591627581E-8</v>
      </c>
    </row>
    <row r="189" spans="2:14">
      <c r="B189" s="10" t="s">
        <v>875</v>
      </c>
      <c r="C189" s="43" t="s">
        <v>876</v>
      </c>
      <c r="D189" s="10" t="s">
        <v>198</v>
      </c>
      <c r="E189" s="10" t="s">
        <v>521</v>
      </c>
      <c r="F189" s="10"/>
      <c r="G189" s="10" t="s">
        <v>547</v>
      </c>
      <c r="H189" s="10" t="s">
        <v>43</v>
      </c>
      <c r="I189" s="11">
        <v>605</v>
      </c>
      <c r="J189" s="11">
        <v>16650</v>
      </c>
      <c r="K189" s="11">
        <v>387.22</v>
      </c>
      <c r="L189" s="7"/>
      <c r="M189" s="12">
        <v>6.9999999999999999E-4</v>
      </c>
      <c r="N189" s="12">
        <f>K189/'סכום נכסי הקרן'!$C$42</f>
        <v>1.0648300846957189E-4</v>
      </c>
    </row>
    <row r="190" spans="2:14">
      <c r="B190" s="10" t="s">
        <v>877</v>
      </c>
      <c r="C190" s="43" t="s">
        <v>878</v>
      </c>
      <c r="D190" s="10" t="s">
        <v>180</v>
      </c>
      <c r="E190" s="10" t="s">
        <v>521</v>
      </c>
      <c r="F190" s="10"/>
      <c r="G190" s="10" t="s">
        <v>547</v>
      </c>
      <c r="H190" s="10" t="s">
        <v>43</v>
      </c>
      <c r="I190" s="11">
        <v>1300</v>
      </c>
      <c r="J190" s="11">
        <v>6290</v>
      </c>
      <c r="K190" s="11">
        <v>314.32</v>
      </c>
      <c r="L190" s="7"/>
      <c r="M190" s="12">
        <v>5.9999999999999995E-4</v>
      </c>
      <c r="N190" s="12">
        <f>K190/'סכום נכסי הקרן'!$C$42</f>
        <v>8.6435977537719725E-5</v>
      </c>
    </row>
    <row r="191" spans="2:14">
      <c r="B191" s="10" t="s">
        <v>879</v>
      </c>
      <c r="C191" s="43" t="s">
        <v>880</v>
      </c>
      <c r="D191" s="10" t="s">
        <v>180</v>
      </c>
      <c r="E191" s="10" t="s">
        <v>521</v>
      </c>
      <c r="F191" s="10"/>
      <c r="G191" s="10" t="s">
        <v>547</v>
      </c>
      <c r="H191" s="10" t="s">
        <v>43</v>
      </c>
      <c r="I191" s="11">
        <v>1150</v>
      </c>
      <c r="J191" s="11">
        <v>3869</v>
      </c>
      <c r="K191" s="11">
        <v>171.03</v>
      </c>
      <c r="L191" s="7"/>
      <c r="M191" s="12">
        <v>2.9999999999999997E-4</v>
      </c>
      <c r="N191" s="12">
        <f>K191/'סכום נכסי הקרן'!$C$42</f>
        <v>4.7032149523658069E-5</v>
      </c>
    </row>
    <row r="192" spans="2:14">
      <c r="B192" s="10" t="s">
        <v>881</v>
      </c>
      <c r="C192" s="43" t="s">
        <v>882</v>
      </c>
      <c r="D192" s="10" t="s">
        <v>180</v>
      </c>
      <c r="E192" s="10" t="s">
        <v>521</v>
      </c>
      <c r="F192" s="10"/>
      <c r="G192" s="10" t="s">
        <v>547</v>
      </c>
      <c r="H192" s="10" t="s">
        <v>43</v>
      </c>
      <c r="I192" s="11">
        <v>790</v>
      </c>
      <c r="J192" s="11">
        <v>6915</v>
      </c>
      <c r="K192" s="11">
        <f>209.99+0.9797</f>
        <v>210.96970000000002</v>
      </c>
      <c r="L192" s="7"/>
      <c r="M192" s="12">
        <v>4.0000000000000002E-4</v>
      </c>
      <c r="N192" s="12">
        <f>K192/'סכום נכסי הקרן'!$C$42</f>
        <v>5.8015310035439907E-5</v>
      </c>
    </row>
    <row r="193" spans="2:14">
      <c r="B193" s="10" t="s">
        <v>883</v>
      </c>
      <c r="C193" s="43" t="s">
        <v>884</v>
      </c>
      <c r="D193" s="10" t="s">
        <v>180</v>
      </c>
      <c r="E193" s="10" t="s">
        <v>521</v>
      </c>
      <c r="F193" s="10"/>
      <c r="G193" s="10" t="s">
        <v>547</v>
      </c>
      <c r="H193" s="10" t="s">
        <v>43</v>
      </c>
      <c r="I193" s="11">
        <f>860+700</f>
        <v>1560</v>
      </c>
      <c r="J193" s="11">
        <v>7833</v>
      </c>
      <c r="K193" s="11">
        <f>258.95+210.77</f>
        <v>469.72</v>
      </c>
      <c r="L193" s="12">
        <v>0</v>
      </c>
      <c r="M193" s="12">
        <v>5.0000000000000001E-4</v>
      </c>
      <c r="N193" s="12">
        <f>K193/'סכום נכסי הקרן'!$C$42</f>
        <v>1.2916997763113297E-4</v>
      </c>
    </row>
    <row r="194" spans="2:14">
      <c r="B194" s="10" t="s">
        <v>885</v>
      </c>
      <c r="C194" s="43" t="s">
        <v>886</v>
      </c>
      <c r="D194" s="10" t="s">
        <v>198</v>
      </c>
      <c r="E194" s="10" t="s">
        <v>521</v>
      </c>
      <c r="F194" s="10"/>
      <c r="G194" s="10" t="s">
        <v>571</v>
      </c>
      <c r="H194" s="10" t="s">
        <v>43</v>
      </c>
      <c r="I194" s="11">
        <v>800</v>
      </c>
      <c r="J194" s="11">
        <v>11673</v>
      </c>
      <c r="K194" s="11">
        <v>358.97</v>
      </c>
      <c r="L194" s="7"/>
      <c r="M194" s="12">
        <v>6.9999999999999999E-4</v>
      </c>
      <c r="N194" s="12">
        <f>K194/'סכום נכסי הקרן'!$C$42</f>
        <v>9.8714440241522183E-5</v>
      </c>
    </row>
    <row r="195" spans="2:14">
      <c r="B195" s="10" t="s">
        <v>887</v>
      </c>
      <c r="C195" s="43" t="s">
        <v>888</v>
      </c>
      <c r="D195" s="10" t="s">
        <v>180</v>
      </c>
      <c r="E195" s="10" t="s">
        <v>521</v>
      </c>
      <c r="F195" s="10"/>
      <c r="G195" s="10" t="s">
        <v>571</v>
      </c>
      <c r="H195" s="10" t="s">
        <v>43</v>
      </c>
      <c r="I195" s="11">
        <v>12700</v>
      </c>
      <c r="J195" s="11">
        <v>3046</v>
      </c>
      <c r="K195" s="11">
        <f>1487.02-150</f>
        <v>1337.02</v>
      </c>
      <c r="L195" s="7"/>
      <c r="M195" s="12">
        <v>2.7000000000000001E-3</v>
      </c>
      <c r="N195" s="12">
        <f>K195/'סכום נכסי הקרן'!$C$42</f>
        <v>3.6767189707139869E-4</v>
      </c>
    </row>
    <row r="196" spans="2:14">
      <c r="B196" s="10" t="s">
        <v>889</v>
      </c>
      <c r="C196" s="43" t="s">
        <v>890</v>
      </c>
      <c r="D196" s="10" t="s">
        <v>198</v>
      </c>
      <c r="E196" s="10" t="s">
        <v>521</v>
      </c>
      <c r="F196" s="10"/>
      <c r="G196" s="10" t="s">
        <v>891</v>
      </c>
      <c r="H196" s="10" t="s">
        <v>43</v>
      </c>
      <c r="I196" s="11">
        <v>1350</v>
      </c>
      <c r="J196" s="11">
        <v>3666</v>
      </c>
      <c r="K196" s="11">
        <v>190.24</v>
      </c>
      <c r="L196" s="7"/>
      <c r="M196" s="12">
        <v>2.9999999999999997E-4</v>
      </c>
      <c r="N196" s="12">
        <f>K196/'סכום נכסי הקרן'!$C$42</f>
        <v>5.2314775918731875E-5</v>
      </c>
    </row>
    <row r="197" spans="2:14">
      <c r="B197" s="10" t="s">
        <v>892</v>
      </c>
      <c r="C197" s="43" t="s">
        <v>893</v>
      </c>
      <c r="D197" s="10" t="s">
        <v>198</v>
      </c>
      <c r="E197" s="10" t="s">
        <v>521</v>
      </c>
      <c r="F197" s="10"/>
      <c r="G197" s="10" t="s">
        <v>561</v>
      </c>
      <c r="H197" s="10" t="s">
        <v>43</v>
      </c>
      <c r="I197" s="11">
        <v>1120</v>
      </c>
      <c r="J197" s="11">
        <v>8733</v>
      </c>
      <c r="K197" s="11">
        <v>375.98</v>
      </c>
      <c r="L197" s="7"/>
      <c r="M197" s="12">
        <v>6.9999999999999999E-4</v>
      </c>
      <c r="N197" s="12">
        <f>K197/'סכום נכסי הקרן'!$C$42</f>
        <v>1.0339208079228768E-4</v>
      </c>
    </row>
    <row r="198" spans="2:14">
      <c r="B198" s="10" t="s">
        <v>894</v>
      </c>
      <c r="C198" s="43" t="s">
        <v>895</v>
      </c>
      <c r="D198" s="10" t="s">
        <v>180</v>
      </c>
      <c r="E198" s="10" t="s">
        <v>521</v>
      </c>
      <c r="F198" s="10"/>
      <c r="G198" s="10" t="s">
        <v>184</v>
      </c>
      <c r="H198" s="10" t="s">
        <v>43</v>
      </c>
      <c r="I198" s="11">
        <v>600</v>
      </c>
      <c r="J198" s="11">
        <v>12513</v>
      </c>
      <c r="K198" s="11">
        <v>288.60000000000002</v>
      </c>
      <c r="L198" s="7"/>
      <c r="M198" s="12">
        <v>5.0000000000000001E-4</v>
      </c>
      <c r="N198" s="12">
        <f>K198/'סכום נכסי הקרן'!$C$42</f>
        <v>7.9363143030624568E-5</v>
      </c>
    </row>
    <row r="199" spans="2:14">
      <c r="B199" s="10" t="s">
        <v>896</v>
      </c>
      <c r="C199" s="43" t="s">
        <v>897</v>
      </c>
      <c r="D199" s="10" t="s">
        <v>180</v>
      </c>
      <c r="E199" s="10" t="s">
        <v>521</v>
      </c>
      <c r="F199" s="10"/>
      <c r="G199" s="10" t="s">
        <v>184</v>
      </c>
      <c r="H199" s="10" t="s">
        <v>43</v>
      </c>
      <c r="I199" s="11">
        <v>1200</v>
      </c>
      <c r="J199" s="11">
        <v>0</v>
      </c>
      <c r="K199" s="11">
        <v>0</v>
      </c>
      <c r="L199" s="7"/>
      <c r="M199" s="12">
        <v>0</v>
      </c>
      <c r="N199" s="12">
        <f>K199/'סכום נכסי הקרן'!$C$42</f>
        <v>0</v>
      </c>
    </row>
    <row r="200" spans="2:14">
      <c r="B200" s="10" t="s">
        <v>898</v>
      </c>
      <c r="C200" s="43" t="s">
        <v>899</v>
      </c>
      <c r="D200" s="10" t="s">
        <v>198</v>
      </c>
      <c r="E200" s="10" t="s">
        <v>521</v>
      </c>
      <c r="F200" s="10"/>
      <c r="G200" s="10" t="s">
        <v>558</v>
      </c>
      <c r="H200" s="10" t="s">
        <v>43</v>
      </c>
      <c r="I200" s="11">
        <v>1192.3</v>
      </c>
      <c r="J200" s="11">
        <v>7213</v>
      </c>
      <c r="K200" s="11">
        <v>330.59</v>
      </c>
      <c r="L200" s="7"/>
      <c r="M200" s="12">
        <v>5.9999999999999995E-4</v>
      </c>
      <c r="N200" s="12">
        <f>K200/'סכום נכסי הקרן'!$C$42</f>
        <v>9.0910122849945164E-5</v>
      </c>
    </row>
    <row r="201" spans="2:14">
      <c r="B201" s="10" t="s">
        <v>900</v>
      </c>
      <c r="C201" s="43" t="s">
        <v>901</v>
      </c>
      <c r="D201" s="10" t="s">
        <v>198</v>
      </c>
      <c r="E201" s="10" t="s">
        <v>521</v>
      </c>
      <c r="F201" s="10"/>
      <c r="G201" s="10" t="s">
        <v>540</v>
      </c>
      <c r="H201" s="10" t="s">
        <v>43</v>
      </c>
      <c r="I201" s="11">
        <v>8400</v>
      </c>
      <c r="J201" s="11">
        <v>7392</v>
      </c>
      <c r="K201" s="11">
        <f>2386.85-200</f>
        <v>2186.85</v>
      </c>
      <c r="L201" s="7"/>
      <c r="M201" s="12">
        <v>4.4000000000000003E-3</v>
      </c>
      <c r="N201" s="12">
        <f>K201/'סכום נכסי הקרן'!$C$42</f>
        <v>6.0136967892072534E-4</v>
      </c>
    </row>
    <row r="202" spans="2:14">
      <c r="B202" s="10" t="s">
        <v>902</v>
      </c>
      <c r="C202" s="43" t="s">
        <v>903</v>
      </c>
      <c r="D202" s="10" t="s">
        <v>180</v>
      </c>
      <c r="E202" s="10" t="s">
        <v>521</v>
      </c>
      <c r="F202" s="10"/>
      <c r="G202" s="10" t="s">
        <v>540</v>
      </c>
      <c r="H202" s="10" t="s">
        <v>43</v>
      </c>
      <c r="I202" s="11">
        <v>21950.880000000001</v>
      </c>
      <c r="J202" s="11">
        <v>2200</v>
      </c>
      <c r="K202" s="11">
        <f>1856.34-100</f>
        <v>1756.34</v>
      </c>
      <c r="L202" s="7"/>
      <c r="M202" s="12">
        <v>3.3999999999999998E-3</v>
      </c>
      <c r="N202" s="12">
        <f>K202/'סכום נכסי הקרן'!$C$42</f>
        <v>4.8298219899655975E-4</v>
      </c>
    </row>
    <row r="203" spans="2:14">
      <c r="B203" s="10" t="s">
        <v>904</v>
      </c>
      <c r="C203" s="43" t="s">
        <v>905</v>
      </c>
      <c r="D203" s="10" t="s">
        <v>180</v>
      </c>
      <c r="E203" s="10" t="s">
        <v>521</v>
      </c>
      <c r="F203" s="10"/>
      <c r="G203" s="10" t="s">
        <v>540</v>
      </c>
      <c r="H203" s="10" t="s">
        <v>43</v>
      </c>
      <c r="I203" s="11">
        <v>284</v>
      </c>
      <c r="J203" s="11">
        <v>5938</v>
      </c>
      <c r="K203" s="11">
        <v>64.819999999999993</v>
      </c>
      <c r="L203" s="7"/>
      <c r="M203" s="12">
        <v>1E-4</v>
      </c>
      <c r="N203" s="12">
        <f>K203/'סכום נכסי הקרן'!$C$42</f>
        <v>1.7825082921847136E-5</v>
      </c>
    </row>
    <row r="204" spans="2:14">
      <c r="B204" s="10" t="s">
        <v>906</v>
      </c>
      <c r="C204" s="43" t="s">
        <v>907</v>
      </c>
      <c r="D204" s="10" t="s">
        <v>180</v>
      </c>
      <c r="E204" s="10" t="s">
        <v>521</v>
      </c>
      <c r="F204" s="10"/>
      <c r="G204" s="10" t="s">
        <v>540</v>
      </c>
      <c r="H204" s="10" t="s">
        <v>43</v>
      </c>
      <c r="I204" s="11">
        <v>680</v>
      </c>
      <c r="J204" s="11">
        <v>5484</v>
      </c>
      <c r="K204" s="11">
        <v>143.35</v>
      </c>
      <c r="L204" s="7"/>
      <c r="M204" s="12">
        <v>2.9999999999999997E-4</v>
      </c>
      <c r="N204" s="12">
        <f>K204/'סכום נכסי הקרן'!$C$42</f>
        <v>3.9420327627997335E-5</v>
      </c>
    </row>
    <row r="205" spans="2:14">
      <c r="B205" s="10" t="s">
        <v>908</v>
      </c>
      <c r="C205" s="43" t="s">
        <v>909</v>
      </c>
      <c r="D205" s="10" t="s">
        <v>198</v>
      </c>
      <c r="E205" s="10" t="s">
        <v>521</v>
      </c>
      <c r="F205" s="10"/>
      <c r="G205" s="10" t="s">
        <v>184</v>
      </c>
      <c r="H205" s="10" t="s">
        <v>43</v>
      </c>
      <c r="I205" s="11">
        <v>1520</v>
      </c>
      <c r="J205" s="11">
        <v>11635</v>
      </c>
      <c r="K205" s="11">
        <v>679.82</v>
      </c>
      <c r="L205" s="7"/>
      <c r="M205" s="12">
        <v>1.1999999999999999E-3</v>
      </c>
      <c r="N205" s="12">
        <f>K205/'סכום נכסי הקרן'!$C$42</f>
        <v>1.8694612576257517E-4</v>
      </c>
    </row>
    <row r="206" spans="2:14">
      <c r="B206" s="10" t="s">
        <v>910</v>
      </c>
      <c r="C206" s="43" t="s">
        <v>911</v>
      </c>
      <c r="D206" s="10" t="s">
        <v>198</v>
      </c>
      <c r="E206" s="10" t="s">
        <v>521</v>
      </c>
      <c r="F206" s="10"/>
      <c r="G206" s="10" t="s">
        <v>184</v>
      </c>
      <c r="H206" s="10" t="s">
        <v>43</v>
      </c>
      <c r="I206" s="11">
        <v>4000</v>
      </c>
      <c r="J206" s="11">
        <v>1182</v>
      </c>
      <c r="K206" s="11">
        <v>181.74</v>
      </c>
      <c r="L206" s="7"/>
      <c r="M206" s="12">
        <v>2.9999999999999997E-4</v>
      </c>
      <c r="N206" s="12">
        <f>K206/'סכום נכסי הקרן'!$C$42</f>
        <v>4.9977330611177093E-5</v>
      </c>
    </row>
    <row r="207" spans="2:14">
      <c r="B207" s="10" t="s">
        <v>912</v>
      </c>
      <c r="C207" s="43" t="s">
        <v>913</v>
      </c>
      <c r="D207" s="10" t="s">
        <v>198</v>
      </c>
      <c r="E207" s="10" t="s">
        <v>521</v>
      </c>
      <c r="F207" s="10"/>
      <c r="G207" s="10" t="s">
        <v>184</v>
      </c>
      <c r="H207" s="10" t="s">
        <v>43</v>
      </c>
      <c r="I207" s="11">
        <v>386</v>
      </c>
      <c r="J207" s="11">
        <v>80288</v>
      </c>
      <c r="K207" s="11">
        <v>1191.3</v>
      </c>
      <c r="L207" s="7"/>
      <c r="M207" s="12">
        <v>2.2000000000000001E-3</v>
      </c>
      <c r="N207" s="12">
        <f>K207/'סכום נכסי הקרן'!$C$42</f>
        <v>3.2759983469294191E-4</v>
      </c>
    </row>
    <row r="208" spans="2:14">
      <c r="B208" s="10" t="s">
        <v>914</v>
      </c>
      <c r="C208" s="43" t="s">
        <v>915</v>
      </c>
      <c r="D208" s="10" t="s">
        <v>198</v>
      </c>
      <c r="E208" s="10" t="s">
        <v>521</v>
      </c>
      <c r="F208" s="10"/>
      <c r="G208" s="10" t="s">
        <v>184</v>
      </c>
      <c r="H208" s="10" t="s">
        <v>43</v>
      </c>
      <c r="I208" s="11">
        <v>200</v>
      </c>
      <c r="J208" s="11">
        <v>78279</v>
      </c>
      <c r="K208" s="11">
        <v>601.80999999999995</v>
      </c>
      <c r="L208" s="7"/>
      <c r="M208" s="12">
        <v>1.1000000000000001E-3</v>
      </c>
      <c r="N208" s="12">
        <f>K208/'סכום נכסי הקרן'!$C$42</f>
        <v>1.6549387771053417E-4</v>
      </c>
    </row>
    <row r="209" spans="2:14">
      <c r="B209" s="10" t="s">
        <v>916</v>
      </c>
      <c r="C209" s="43" t="s">
        <v>917</v>
      </c>
      <c r="D209" s="10" t="s">
        <v>180</v>
      </c>
      <c r="E209" s="10" t="s">
        <v>521</v>
      </c>
      <c r="F209" s="10"/>
      <c r="G209" s="10" t="s">
        <v>561</v>
      </c>
      <c r="H209" s="10" t="s">
        <v>43</v>
      </c>
      <c r="I209" s="11">
        <v>830</v>
      </c>
      <c r="J209" s="11">
        <v>4266</v>
      </c>
      <c r="K209" s="11">
        <v>136.11000000000001</v>
      </c>
      <c r="L209" s="7"/>
      <c r="M209" s="12">
        <v>2.0000000000000001E-4</v>
      </c>
      <c r="N209" s="12">
        <f>K209/'סכום נכסי הקרן'!$C$42</f>
        <v>3.742937421309186E-5</v>
      </c>
    </row>
    <row r="212" spans="2:14">
      <c r="B212" s="3" t="s">
        <v>121</v>
      </c>
      <c r="C212" s="5"/>
      <c r="D212" s="3"/>
      <c r="E212" s="3"/>
      <c r="F212" s="3"/>
      <c r="G212" s="3"/>
      <c r="H212" s="3"/>
    </row>
    <row r="216" spans="2:14">
      <c r="B216" s="2" t="s">
        <v>76</v>
      </c>
    </row>
  </sheetData>
  <mergeCells count="4">
    <mergeCell ref="B6:L6"/>
    <mergeCell ref="M6:N6"/>
    <mergeCell ref="B9:L9"/>
    <mergeCell ref="M9:N9"/>
  </mergeCells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rightToLeft="1" topLeftCell="B2" zoomScale="90" zoomScaleNormal="90" workbookViewId="0">
      <selection activeCell="H35" sqref="H35"/>
    </sheetView>
  </sheetViews>
  <sheetFormatPr defaultColWidth="9.140625" defaultRowHeight="12.75"/>
  <cols>
    <col min="1" max="1" width="9.140625" hidden="1" customWidth="1"/>
    <col min="2" max="2" width="46.7109375" customWidth="1"/>
    <col min="3" max="3" width="16.7109375" customWidth="1"/>
    <col min="4" max="4" width="12.7109375" customWidth="1"/>
    <col min="5" max="5" width="8.85546875" customWidth="1"/>
    <col min="6" max="6" width="20.7109375" customWidth="1"/>
    <col min="7" max="8" width="15.7109375" customWidth="1"/>
    <col min="9" max="9" width="11.7109375" customWidth="1"/>
    <col min="10" max="10" width="13.7109375" customWidth="1"/>
    <col min="11" max="11" width="24.7109375" customWidth="1"/>
    <col min="12" max="12" width="27.7109375" customWidth="1"/>
    <col min="13" max="13" width="20.7109375" customWidth="1"/>
  </cols>
  <sheetData>
    <row r="1" spans="2:13">
      <c r="B1" s="15" t="s">
        <v>1490</v>
      </c>
    </row>
    <row r="2" spans="2:13">
      <c r="B2" s="15" t="s">
        <v>1489</v>
      </c>
    </row>
    <row r="3" spans="2:13">
      <c r="B3" s="15" t="s">
        <v>2</v>
      </c>
    </row>
    <row r="4" spans="2:13">
      <c r="B4" s="15" t="s">
        <v>3</v>
      </c>
    </row>
    <row r="6" spans="2:13">
      <c r="B6" s="113" t="s">
        <v>122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54"/>
    </row>
    <row r="7" spans="2:13">
      <c r="B7" s="49" t="s">
        <v>918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2:13">
      <c r="B8" s="49" t="s">
        <v>78</v>
      </c>
      <c r="C8" s="49" t="s">
        <v>79</v>
      </c>
      <c r="D8" s="49" t="s">
        <v>124</v>
      </c>
      <c r="E8" s="49" t="s">
        <v>80</v>
      </c>
      <c r="F8" s="49" t="s">
        <v>205</v>
      </c>
      <c r="G8" s="49" t="s">
        <v>83</v>
      </c>
      <c r="H8" s="49" t="s">
        <v>127</v>
      </c>
      <c r="I8" s="49" t="s">
        <v>42</v>
      </c>
      <c r="J8" s="49" t="s">
        <v>86</v>
      </c>
      <c r="K8" s="49" t="s">
        <v>128</v>
      </c>
      <c r="L8" s="49" t="s">
        <v>129</v>
      </c>
      <c r="M8" s="49" t="s">
        <v>88</v>
      </c>
    </row>
    <row r="9" spans="2:13">
      <c r="B9" s="113"/>
      <c r="C9" s="113"/>
      <c r="D9" s="113"/>
      <c r="E9" s="113"/>
      <c r="F9" s="113"/>
      <c r="G9" s="113"/>
      <c r="H9" s="113" t="s">
        <v>132</v>
      </c>
      <c r="I9" s="113" t="s">
        <v>133</v>
      </c>
      <c r="J9" s="113" t="s">
        <v>90</v>
      </c>
      <c r="K9" s="113" t="s">
        <v>89</v>
      </c>
      <c r="L9" s="113" t="s">
        <v>89</v>
      </c>
      <c r="M9" s="54" t="s">
        <v>89</v>
      </c>
    </row>
    <row r="10" spans="2:13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2:13">
      <c r="B11" s="8" t="s">
        <v>919</v>
      </c>
      <c r="C11" s="38"/>
      <c r="D11" s="8"/>
      <c r="E11" s="8"/>
      <c r="F11" s="8"/>
      <c r="G11" s="8"/>
      <c r="H11" s="13">
        <f>H13+H97</f>
        <v>3836752.7199999997</v>
      </c>
      <c r="I11" s="13">
        <f>I13+I97</f>
        <v>0</v>
      </c>
      <c r="J11" s="13">
        <f>J13+J97</f>
        <v>450224.95569999982</v>
      </c>
      <c r="K11" s="13"/>
      <c r="L11" s="53">
        <f>L13+L97</f>
        <v>1.0009000000000001</v>
      </c>
      <c r="M11" s="53">
        <f>M13+M97</f>
        <v>0.14547175907617058</v>
      </c>
    </row>
    <row r="12" spans="2:13">
      <c r="B12" s="8"/>
      <c r="C12" s="38"/>
      <c r="D12" s="8"/>
      <c r="E12" s="8"/>
      <c r="F12" s="8"/>
      <c r="G12" s="8"/>
      <c r="H12" s="13"/>
      <c r="I12" s="7"/>
      <c r="J12" s="13"/>
      <c r="K12" s="7"/>
      <c r="L12" s="14"/>
      <c r="M12" s="14"/>
    </row>
    <row r="13" spans="2:13">
      <c r="B13" s="8" t="s">
        <v>920</v>
      </c>
      <c r="C13" s="38"/>
      <c r="D13" s="8"/>
      <c r="E13" s="8"/>
      <c r="F13" s="8"/>
      <c r="G13" s="8"/>
      <c r="H13" s="13">
        <f>H15+H33+H73+H87+H91</f>
        <v>2369382</v>
      </c>
      <c r="I13" s="13"/>
      <c r="J13" s="13">
        <f>J15+J33+J73+J87+J91</f>
        <v>104578.49</v>
      </c>
      <c r="K13" s="13"/>
      <c r="L13" s="53">
        <f>L15+L33+L73+L87+L91</f>
        <v>0.23340000000000005</v>
      </c>
      <c r="M13" s="53">
        <f>M15+M33+M73+M87+M91</f>
        <v>5.0393436328517387E-2</v>
      </c>
    </row>
    <row r="14" spans="2:13">
      <c r="B14" s="8"/>
      <c r="C14" s="38"/>
      <c r="D14" s="8"/>
      <c r="E14" s="8"/>
      <c r="F14" s="8"/>
      <c r="G14" s="8"/>
      <c r="H14" s="13"/>
      <c r="I14" s="7"/>
      <c r="J14" s="13"/>
      <c r="K14" s="7"/>
      <c r="L14" s="14"/>
      <c r="M14" s="14"/>
    </row>
    <row r="15" spans="2:13">
      <c r="B15" s="39" t="s">
        <v>921</v>
      </c>
      <c r="C15" s="40"/>
      <c r="D15" s="39"/>
      <c r="E15" s="39"/>
      <c r="F15" s="39"/>
      <c r="G15" s="39"/>
      <c r="H15" s="42">
        <f>SUM(H16:H31)</f>
        <v>452595</v>
      </c>
      <c r="I15" s="42"/>
      <c r="J15" s="42">
        <f t="shared" ref="J15:M15" si="0">SUM(J16:J31)</f>
        <v>16214.050000000001</v>
      </c>
      <c r="K15" s="42"/>
      <c r="L15" s="51">
        <f t="shared" si="0"/>
        <v>3.6900000000000009E-2</v>
      </c>
      <c r="M15" s="51">
        <f t="shared" si="0"/>
        <v>4.4587594222304161E-3</v>
      </c>
    </row>
    <row r="16" spans="2:13">
      <c r="B16" s="10" t="s">
        <v>922</v>
      </c>
      <c r="C16" s="43">
        <v>1113232</v>
      </c>
      <c r="D16" s="10" t="s">
        <v>138</v>
      </c>
      <c r="E16" s="10">
        <v>1523</v>
      </c>
      <c r="F16" s="10" t="s">
        <v>923</v>
      </c>
      <c r="G16" s="10" t="s">
        <v>96</v>
      </c>
      <c r="H16" s="11">
        <v>91843</v>
      </c>
      <c r="I16" s="11">
        <v>1277</v>
      </c>
      <c r="J16" s="11">
        <v>1172.8399999999999</v>
      </c>
      <c r="K16" s="12">
        <v>4.0000000000000002E-4</v>
      </c>
      <c r="L16" s="12">
        <f>0.26%+0.0013</f>
        <v>3.8999999999999998E-3</v>
      </c>
      <c r="M16" s="12">
        <f>J16/'סכום נכסי הקרן'!$C$42</f>
        <v>3.2252345347206411E-4</v>
      </c>
    </row>
    <row r="17" spans="2:13">
      <c r="B17" s="10" t="s">
        <v>924</v>
      </c>
      <c r="C17" s="43">
        <v>1118769</v>
      </c>
      <c r="D17" s="10" t="s">
        <v>138</v>
      </c>
      <c r="E17" s="10">
        <v>1446</v>
      </c>
      <c r="F17" s="10" t="s">
        <v>923</v>
      </c>
      <c r="G17" s="10" t="s">
        <v>96</v>
      </c>
      <c r="H17" s="11">
        <v>96400</v>
      </c>
      <c r="I17" s="11">
        <v>708.3</v>
      </c>
      <c r="J17" s="11">
        <v>682.8</v>
      </c>
      <c r="K17" s="12">
        <v>1.2999999999999999E-3</v>
      </c>
      <c r="L17" s="12">
        <v>1.5E-3</v>
      </c>
      <c r="M17" s="12">
        <f>J17/'סכום נכסי הקרן'!$C$42</f>
        <v>1.8776560658804729E-4</v>
      </c>
    </row>
    <row r="18" spans="2:13">
      <c r="B18" s="10" t="s">
        <v>925</v>
      </c>
      <c r="C18" s="43">
        <v>1096593</v>
      </c>
      <c r="D18" s="10" t="s">
        <v>138</v>
      </c>
      <c r="E18" s="10">
        <v>1108</v>
      </c>
      <c r="F18" s="10" t="s">
        <v>923</v>
      </c>
      <c r="G18" s="10" t="s">
        <v>96</v>
      </c>
      <c r="H18" s="11">
        <v>79331</v>
      </c>
      <c r="I18" s="11">
        <v>1278</v>
      </c>
      <c r="J18" s="11">
        <v>1013.85</v>
      </c>
      <c r="K18" s="12">
        <v>5.0000000000000001E-4</v>
      </c>
      <c r="L18" s="12">
        <v>2.2000000000000001E-3</v>
      </c>
      <c r="M18" s="12">
        <f>J18/'סכום נכסי הקרן'!$C$42</f>
        <v>2.7880222647816606E-4</v>
      </c>
    </row>
    <row r="19" spans="2:13">
      <c r="B19" s="10" t="s">
        <v>926</v>
      </c>
      <c r="C19" s="43">
        <v>1084656</v>
      </c>
      <c r="D19" s="10" t="s">
        <v>138</v>
      </c>
      <c r="E19" s="10">
        <v>1108</v>
      </c>
      <c r="F19" s="10" t="s">
        <v>923</v>
      </c>
      <c r="G19" s="10" t="s">
        <v>96</v>
      </c>
      <c r="H19" s="11">
        <v>21500</v>
      </c>
      <c r="I19" s="11">
        <v>1470</v>
      </c>
      <c r="J19" s="11">
        <v>316.05</v>
      </c>
      <c r="K19" s="12">
        <v>0</v>
      </c>
      <c r="L19" s="12">
        <v>6.9999999999999999E-4</v>
      </c>
      <c r="M19" s="12">
        <f>J19/'סכום נכסי הקרן'!$C$42</f>
        <v>8.6911716406198533E-5</v>
      </c>
    </row>
    <row r="20" spans="2:13">
      <c r="B20" s="10" t="s">
        <v>927</v>
      </c>
      <c r="C20" s="43">
        <v>1113307</v>
      </c>
      <c r="D20" s="10" t="s">
        <v>138</v>
      </c>
      <c r="E20" s="10">
        <v>1446</v>
      </c>
      <c r="F20" s="10" t="s">
        <v>923</v>
      </c>
      <c r="G20" s="10" t="s">
        <v>96</v>
      </c>
      <c r="H20" s="11">
        <v>13000</v>
      </c>
      <c r="I20" s="11">
        <v>860.2</v>
      </c>
      <c r="J20" s="11">
        <v>111.83</v>
      </c>
      <c r="K20" s="12">
        <v>1E-4</v>
      </c>
      <c r="L20" s="12">
        <v>2.0000000000000001E-4</v>
      </c>
      <c r="M20" s="12">
        <f>J20/'סכום נכסי הקרן'!$C$42</f>
        <v>3.0752530440453029E-5</v>
      </c>
    </row>
    <row r="21" spans="2:13">
      <c r="B21" s="10" t="s">
        <v>928</v>
      </c>
      <c r="C21" s="43">
        <v>1117290</v>
      </c>
      <c r="D21" s="10" t="s">
        <v>138</v>
      </c>
      <c r="E21" s="10">
        <v>1224</v>
      </c>
      <c r="F21" s="10" t="s">
        <v>923</v>
      </c>
      <c r="G21" s="10" t="s">
        <v>96</v>
      </c>
      <c r="H21" s="11">
        <v>5100</v>
      </c>
      <c r="I21" s="11">
        <v>14770</v>
      </c>
      <c r="J21" s="11">
        <v>753.27</v>
      </c>
      <c r="K21" s="12">
        <v>2.9999999999999997E-4</v>
      </c>
      <c r="L21" s="12">
        <v>1.6999999999999999E-3</v>
      </c>
      <c r="M21" s="12">
        <f>J21/'סכום נכסי הקרן'!$C$42</f>
        <v>2.0714440315550438E-4</v>
      </c>
    </row>
    <row r="22" spans="2:13">
      <c r="B22" s="10" t="s">
        <v>929</v>
      </c>
      <c r="C22" s="43">
        <v>1103167</v>
      </c>
      <c r="D22" s="10" t="s">
        <v>138</v>
      </c>
      <c r="E22" s="10">
        <v>1224</v>
      </c>
      <c r="F22" s="10" t="s">
        <v>923</v>
      </c>
      <c r="G22" s="10" t="s">
        <v>96</v>
      </c>
      <c r="H22" s="11">
        <v>20400</v>
      </c>
      <c r="I22" s="11">
        <v>11380</v>
      </c>
      <c r="J22" s="11">
        <v>2321.52</v>
      </c>
      <c r="K22" s="12">
        <v>1.4E-3</v>
      </c>
      <c r="L22" s="12">
        <v>5.1000000000000004E-3</v>
      </c>
      <c r="M22" s="12">
        <f>J22/'סכום נכסי הקרן'!$C$42</f>
        <v>6.384030623993608E-4</v>
      </c>
    </row>
    <row r="23" spans="2:13">
      <c r="B23" s="10" t="s">
        <v>930</v>
      </c>
      <c r="C23" s="43">
        <v>1116938</v>
      </c>
      <c r="D23" s="10" t="s">
        <v>138</v>
      </c>
      <c r="E23" s="10">
        <v>1224</v>
      </c>
      <c r="F23" s="10" t="s">
        <v>923</v>
      </c>
      <c r="G23" s="10" t="s">
        <v>96</v>
      </c>
      <c r="H23" s="11">
        <v>27600</v>
      </c>
      <c r="I23" s="11">
        <v>6744</v>
      </c>
      <c r="J23" s="11">
        <v>1861.34</v>
      </c>
      <c r="K23" s="12">
        <v>2.8999999999999998E-3</v>
      </c>
      <c r="L23" s="12">
        <v>4.1000000000000003E-3</v>
      </c>
      <c r="M23" s="12">
        <f>J23/'סכום נכסי הקרן'!$C$42</f>
        <v>5.1185652338400116E-4</v>
      </c>
    </row>
    <row r="24" spans="2:13">
      <c r="B24" s="10" t="s">
        <v>931</v>
      </c>
      <c r="C24" s="43">
        <v>1116946</v>
      </c>
      <c r="D24" s="10" t="s">
        <v>138</v>
      </c>
      <c r="E24" s="10">
        <v>1224</v>
      </c>
      <c r="F24" s="10" t="s">
        <v>923</v>
      </c>
      <c r="G24" s="10" t="s">
        <v>96</v>
      </c>
      <c r="H24" s="11">
        <v>6500</v>
      </c>
      <c r="I24" s="11">
        <v>4340</v>
      </c>
      <c r="J24" s="11">
        <v>282.10000000000002</v>
      </c>
      <c r="K24" s="12">
        <v>4.0000000000000002E-4</v>
      </c>
      <c r="L24" s="12">
        <v>5.9999999999999995E-4</v>
      </c>
      <c r="M24" s="12">
        <f>J24/'סכום נכסי הקרן'!$C$42</f>
        <v>7.7575684854259161E-5</v>
      </c>
    </row>
    <row r="25" spans="2:13">
      <c r="B25" s="10" t="s">
        <v>932</v>
      </c>
      <c r="C25" s="43">
        <v>1117266</v>
      </c>
      <c r="D25" s="10" t="s">
        <v>138</v>
      </c>
      <c r="E25" s="10">
        <v>1224</v>
      </c>
      <c r="F25" s="10" t="s">
        <v>923</v>
      </c>
      <c r="G25" s="10" t="s">
        <v>96</v>
      </c>
      <c r="H25" s="11">
        <v>21260</v>
      </c>
      <c r="I25" s="11">
        <v>12770</v>
      </c>
      <c r="J25" s="11">
        <v>2714.9</v>
      </c>
      <c r="K25" s="12">
        <v>2.0000000000000001E-4</v>
      </c>
      <c r="L25" s="12">
        <v>6.0000000000000001E-3</v>
      </c>
      <c r="M25" s="12">
        <f>J25/'סכום נכסי הקרן'!$C$42</f>
        <v>7.4658003123299595E-4</v>
      </c>
    </row>
    <row r="26" spans="2:13">
      <c r="B26" s="10" t="s">
        <v>933</v>
      </c>
      <c r="C26" s="43">
        <v>1117241</v>
      </c>
      <c r="D26" s="10" t="s">
        <v>138</v>
      </c>
      <c r="E26" s="10">
        <v>1224</v>
      </c>
      <c r="F26" s="10" t="s">
        <v>923</v>
      </c>
      <c r="G26" s="10" t="s">
        <v>96</v>
      </c>
      <c r="H26" s="11">
        <v>12000</v>
      </c>
      <c r="I26" s="11">
        <v>8312</v>
      </c>
      <c r="J26" s="11">
        <v>997.44</v>
      </c>
      <c r="K26" s="12">
        <v>1E-4</v>
      </c>
      <c r="L26" s="12">
        <v>2.2000000000000001E-3</v>
      </c>
      <c r="M26" s="12">
        <f>J26/'סכום נכסי הקרן'!$C$42</f>
        <v>2.7428958206675736E-4</v>
      </c>
    </row>
    <row r="27" spans="2:13">
      <c r="B27" s="10" t="s">
        <v>934</v>
      </c>
      <c r="C27" s="43">
        <v>1116979</v>
      </c>
      <c r="D27" s="10" t="s">
        <v>138</v>
      </c>
      <c r="E27" s="10">
        <v>1224</v>
      </c>
      <c r="F27" s="10" t="s">
        <v>923</v>
      </c>
      <c r="G27" s="10" t="s">
        <v>96</v>
      </c>
      <c r="H27" s="11">
        <v>10608</v>
      </c>
      <c r="I27" s="11">
        <v>14640</v>
      </c>
      <c r="J27" s="11">
        <v>1553.01</v>
      </c>
      <c r="K27" s="12">
        <v>4.0000000000000002E-4</v>
      </c>
      <c r="L27" s="12">
        <v>3.3999999999999998E-3</v>
      </c>
      <c r="M27" s="12">
        <f>J27/'סכום נכסי הקרן'!$C$42</f>
        <v>4.2706775730419353E-4</v>
      </c>
    </row>
    <row r="28" spans="2:13">
      <c r="B28" s="10" t="s">
        <v>935</v>
      </c>
      <c r="C28" s="43">
        <v>1108679</v>
      </c>
      <c r="D28" s="10" t="s">
        <v>138</v>
      </c>
      <c r="E28" s="10">
        <v>1336</v>
      </c>
      <c r="F28" s="10" t="s">
        <v>923</v>
      </c>
      <c r="G28" s="10" t="s">
        <v>96</v>
      </c>
      <c r="H28" s="11">
        <v>5501</v>
      </c>
      <c r="I28" s="11">
        <v>1156</v>
      </c>
      <c r="J28" s="11">
        <v>63.59</v>
      </c>
      <c r="K28" s="12">
        <v>1E-4</v>
      </c>
      <c r="L28" s="12">
        <v>1E-4</v>
      </c>
      <c r="M28" s="12">
        <f>J28/'סכום נכסי הקרן'!$C$42</f>
        <v>1.7486840836165683E-5</v>
      </c>
    </row>
    <row r="29" spans="2:13">
      <c r="B29" s="10" t="s">
        <v>936</v>
      </c>
      <c r="C29" s="43">
        <v>1091818</v>
      </c>
      <c r="D29" s="10" t="s">
        <v>138</v>
      </c>
      <c r="E29" s="10">
        <v>1223</v>
      </c>
      <c r="F29" s="10" t="s">
        <v>923</v>
      </c>
      <c r="G29" s="10" t="s">
        <v>96</v>
      </c>
      <c r="H29" s="11">
        <v>15631</v>
      </c>
      <c r="I29" s="11">
        <v>12760</v>
      </c>
      <c r="J29" s="11">
        <v>1994.52</v>
      </c>
      <c r="K29" s="12">
        <v>4.0000000000000002E-4</v>
      </c>
      <c r="L29" s="12">
        <v>4.4000000000000003E-3</v>
      </c>
      <c r="M29" s="12">
        <f>J29/'סכום נכסי הקרן'!$C$42</f>
        <v>5.4848016644990058E-4</v>
      </c>
    </row>
    <row r="30" spans="2:13">
      <c r="B30" s="10" t="s">
        <v>937</v>
      </c>
      <c r="C30" s="43">
        <v>1091826</v>
      </c>
      <c r="D30" s="10" t="s">
        <v>138</v>
      </c>
      <c r="E30" s="10">
        <v>1223</v>
      </c>
      <c r="F30" s="10" t="s">
        <v>923</v>
      </c>
      <c r="G30" s="10" t="s">
        <v>96</v>
      </c>
      <c r="H30" s="11">
        <v>24930</v>
      </c>
      <c r="I30" s="11">
        <v>1470</v>
      </c>
      <c r="J30" s="11">
        <v>366.47</v>
      </c>
      <c r="K30" s="12">
        <v>1E-4</v>
      </c>
      <c r="L30" s="12">
        <v>8.0000000000000004E-4</v>
      </c>
      <c r="M30" s="12">
        <f>J30/'סכום נכסי הקרן'!$C$42</f>
        <v>1.0077689198348229E-4</v>
      </c>
    </row>
    <row r="31" spans="2:13">
      <c r="B31" s="10" t="s">
        <v>938</v>
      </c>
      <c r="C31" s="43">
        <v>1105386</v>
      </c>
      <c r="D31" s="10" t="s">
        <v>138</v>
      </c>
      <c r="E31" s="10">
        <v>1336</v>
      </c>
      <c r="F31" s="10" t="s">
        <v>923</v>
      </c>
      <c r="G31" s="10" t="s">
        <v>96</v>
      </c>
      <c r="H31" s="11">
        <v>991</v>
      </c>
      <c r="I31" s="11">
        <v>860.2</v>
      </c>
      <c r="J31" s="11">
        <v>8.52</v>
      </c>
      <c r="K31" s="12">
        <v>0</v>
      </c>
      <c r="L31" s="12">
        <v>0</v>
      </c>
      <c r="M31" s="12">
        <f>J31/'סכום נכסי הקרן'!$C$42</f>
        <v>2.3429451788666712E-6</v>
      </c>
    </row>
    <row r="32" spans="2:13">
      <c r="B32" s="10"/>
      <c r="C32" s="43"/>
      <c r="D32" s="10"/>
      <c r="E32" s="10"/>
      <c r="F32" s="10"/>
      <c r="G32" s="10"/>
      <c r="H32" s="11"/>
      <c r="I32" s="11"/>
      <c r="J32" s="11"/>
      <c r="K32" s="12"/>
      <c r="L32" s="12"/>
      <c r="M32" s="12"/>
    </row>
    <row r="33" spans="2:13">
      <c r="B33" s="39" t="s">
        <v>939</v>
      </c>
      <c r="C33" s="40"/>
      <c r="D33" s="39"/>
      <c r="E33" s="39"/>
      <c r="F33" s="39"/>
      <c r="G33" s="39"/>
      <c r="H33" s="42">
        <f>SUM(H34:H71)</f>
        <v>933552</v>
      </c>
      <c r="I33" s="42"/>
      <c r="J33" s="42">
        <f t="shared" ref="J33:L33" si="1">SUM(J34:J71)</f>
        <v>64719.510000000009</v>
      </c>
      <c r="K33" s="42"/>
      <c r="L33" s="55">
        <f t="shared" si="1"/>
        <v>0.14350000000000004</v>
      </c>
      <c r="M33" s="55">
        <v>1.7000000000000001E-2</v>
      </c>
    </row>
    <row r="34" spans="2:13">
      <c r="B34" s="10" t="s">
        <v>940</v>
      </c>
      <c r="C34" s="43">
        <v>1101823</v>
      </c>
      <c r="D34" s="10" t="s">
        <v>138</v>
      </c>
      <c r="E34" s="10">
        <v>1337</v>
      </c>
      <c r="F34" s="10" t="s">
        <v>941</v>
      </c>
      <c r="G34" s="10" t="s">
        <v>96</v>
      </c>
      <c r="H34" s="11">
        <v>20000</v>
      </c>
      <c r="I34" s="11">
        <v>3274</v>
      </c>
      <c r="J34" s="11">
        <v>654.79999999999995</v>
      </c>
      <c r="K34" s="12">
        <v>8.9999999999999998E-4</v>
      </c>
      <c r="L34" s="12">
        <v>1.5E-3</v>
      </c>
      <c r="M34" s="12">
        <f>J34/'סכום נכסי הקרן'!$C$42</f>
        <v>1.8006578675139627E-4</v>
      </c>
    </row>
    <row r="35" spans="2:13">
      <c r="B35" s="10" t="s">
        <v>942</v>
      </c>
      <c r="C35" s="43">
        <v>1130376</v>
      </c>
      <c r="D35" s="10" t="s">
        <v>138</v>
      </c>
      <c r="E35" s="10">
        <v>1523</v>
      </c>
      <c r="F35" s="10" t="s">
        <v>941</v>
      </c>
      <c r="G35" s="10" t="s">
        <v>96</v>
      </c>
      <c r="H35" s="11">
        <v>155000</v>
      </c>
      <c r="I35" s="11">
        <v>390.8</v>
      </c>
      <c r="J35" s="11">
        <v>605.74</v>
      </c>
      <c r="K35" s="12">
        <v>6.9999999999999999E-4</v>
      </c>
      <c r="L35" s="12">
        <v>1.2999999999999999E-3</v>
      </c>
      <c r="M35" s="12">
        <f>J35/'סכום נכסי הקרן'!$C$42</f>
        <v>1.6657460242332131E-4</v>
      </c>
    </row>
    <row r="36" spans="2:13">
      <c r="B36" s="10" t="s">
        <v>943</v>
      </c>
      <c r="C36" s="43">
        <v>1132612</v>
      </c>
      <c r="D36" s="10" t="s">
        <v>138</v>
      </c>
      <c r="E36" s="10">
        <v>1523</v>
      </c>
      <c r="F36" s="10" t="s">
        <v>941</v>
      </c>
      <c r="G36" s="10" t="s">
        <v>96</v>
      </c>
      <c r="H36" s="11">
        <v>11000</v>
      </c>
      <c r="I36" s="11">
        <v>4065</v>
      </c>
      <c r="J36" s="11">
        <v>447.15</v>
      </c>
      <c r="K36" s="12">
        <v>3.8E-3</v>
      </c>
      <c r="L36" s="12">
        <v>1E-3</v>
      </c>
      <c r="M36" s="12">
        <f>J36/'סכום נכסי הקרן'!$C$42</f>
        <v>1.2296337285566103E-4</v>
      </c>
    </row>
    <row r="37" spans="2:13">
      <c r="B37" s="10" t="s">
        <v>944</v>
      </c>
      <c r="C37" s="43">
        <v>1131838</v>
      </c>
      <c r="D37" s="10" t="s">
        <v>138</v>
      </c>
      <c r="E37" s="10">
        <v>1523</v>
      </c>
      <c r="F37" s="10" t="s">
        <v>941</v>
      </c>
      <c r="G37" s="10" t="s">
        <v>96</v>
      </c>
      <c r="H37" s="11">
        <v>55500</v>
      </c>
      <c r="I37" s="11">
        <v>499.5</v>
      </c>
      <c r="J37" s="11">
        <v>277.22000000000003</v>
      </c>
      <c r="K37" s="12">
        <v>1E-3</v>
      </c>
      <c r="L37" s="12">
        <v>5.9999999999999995E-4</v>
      </c>
      <c r="M37" s="12">
        <f>J37/'סכום נכסי הקרן'!$C$42</f>
        <v>7.6233716254157113E-5</v>
      </c>
    </row>
    <row r="38" spans="2:13">
      <c r="B38" s="10" t="s">
        <v>945</v>
      </c>
      <c r="C38" s="43">
        <v>1134741</v>
      </c>
      <c r="D38" s="10" t="s">
        <v>138</v>
      </c>
      <c r="E38" s="10">
        <v>1523</v>
      </c>
      <c r="F38" s="10" t="s">
        <v>941</v>
      </c>
      <c r="G38" s="10" t="s">
        <v>96</v>
      </c>
      <c r="H38" s="11">
        <v>6500</v>
      </c>
      <c r="I38" s="11">
        <v>11140</v>
      </c>
      <c r="J38" s="11">
        <v>724.1</v>
      </c>
      <c r="K38" s="12">
        <v>3.3999999999999998E-3</v>
      </c>
      <c r="L38" s="12">
        <v>1.6000000000000001E-3</v>
      </c>
      <c r="M38" s="12">
        <f>J38/'סכום נכסי הקרן'!$C$42</f>
        <v>1.9912284084710758E-4</v>
      </c>
    </row>
    <row r="39" spans="2:13">
      <c r="B39" s="10" t="s">
        <v>946</v>
      </c>
      <c r="C39" s="43">
        <v>1101435</v>
      </c>
      <c r="D39" s="10" t="s">
        <v>138</v>
      </c>
      <c r="E39" s="10">
        <v>1249</v>
      </c>
      <c r="F39" s="10" t="s">
        <v>941</v>
      </c>
      <c r="G39" s="10" t="s">
        <v>96</v>
      </c>
      <c r="H39" s="11">
        <v>520</v>
      </c>
      <c r="I39" s="11">
        <v>3048</v>
      </c>
      <c r="J39" s="11">
        <v>15.85</v>
      </c>
      <c r="K39" s="12">
        <v>1E-4</v>
      </c>
      <c r="L39" s="12">
        <v>0</v>
      </c>
      <c r="M39" s="12">
        <f>J39/'סכום נכסי הקרן'!$C$42</f>
        <v>4.3586480146756731E-6</v>
      </c>
    </row>
    <row r="40" spans="2:13">
      <c r="B40" s="10" t="s">
        <v>947</v>
      </c>
      <c r="C40" s="43">
        <v>1125335</v>
      </c>
      <c r="D40" s="10" t="s">
        <v>138</v>
      </c>
      <c r="E40" s="10">
        <v>1249</v>
      </c>
      <c r="F40" s="10" t="s">
        <v>941</v>
      </c>
      <c r="G40" s="10" t="s">
        <v>96</v>
      </c>
      <c r="H40" s="11">
        <v>9000</v>
      </c>
      <c r="I40" s="11">
        <v>3948</v>
      </c>
      <c r="J40" s="11">
        <v>355.32</v>
      </c>
      <c r="K40" s="12">
        <v>1E-4</v>
      </c>
      <c r="L40" s="12">
        <v>8.0000000000000004E-4</v>
      </c>
      <c r="M40" s="12">
        <f>J40/'סכום נכסי הקרן'!$C$42</f>
        <v>9.7710713727101601E-5</v>
      </c>
    </row>
    <row r="41" spans="2:13">
      <c r="B41" s="10" t="s">
        <v>948</v>
      </c>
      <c r="C41" s="43">
        <v>1117399</v>
      </c>
      <c r="D41" s="10" t="s">
        <v>138</v>
      </c>
      <c r="E41" s="10">
        <v>1446</v>
      </c>
      <c r="F41" s="10" t="s">
        <v>941</v>
      </c>
      <c r="G41" s="10" t="s">
        <v>96</v>
      </c>
      <c r="H41" s="11">
        <v>115207</v>
      </c>
      <c r="I41" s="11">
        <v>9498</v>
      </c>
      <c r="J41" s="11">
        <v>10942.36</v>
      </c>
      <c r="K41" s="12">
        <v>3.3999999999999998E-3</v>
      </c>
      <c r="L41" s="12">
        <v>2.4199999999999999E-2</v>
      </c>
      <c r="M41" s="12">
        <f>J41/'סכום נכסי הקרן'!$C$42</f>
        <v>3.0090785924205997E-3</v>
      </c>
    </row>
    <row r="42" spans="2:13">
      <c r="B42" s="10" t="s">
        <v>949</v>
      </c>
      <c r="C42" s="43">
        <v>1129964</v>
      </c>
      <c r="D42" s="10" t="s">
        <v>138</v>
      </c>
      <c r="E42" s="10">
        <v>1446</v>
      </c>
      <c r="F42" s="10" t="s">
        <v>941</v>
      </c>
      <c r="G42" s="10" t="s">
        <v>96</v>
      </c>
      <c r="H42" s="11">
        <v>9000</v>
      </c>
      <c r="I42" s="11">
        <v>3820</v>
      </c>
      <c r="J42" s="11">
        <v>343.8</v>
      </c>
      <c r="K42" s="12">
        <v>2.9999999999999997E-4</v>
      </c>
      <c r="L42" s="12">
        <v>8.0000000000000004E-4</v>
      </c>
      <c r="M42" s="12">
        <f>J42/'סכום נכסי הקרן'!$C$42</f>
        <v>9.4542787851450885E-5</v>
      </c>
    </row>
    <row r="43" spans="2:13">
      <c r="B43" s="10" t="s">
        <v>950</v>
      </c>
      <c r="C43" s="43">
        <v>1134592</v>
      </c>
      <c r="D43" s="10" t="s">
        <v>138</v>
      </c>
      <c r="E43" s="10">
        <v>1446</v>
      </c>
      <c r="F43" s="10" t="s">
        <v>941</v>
      </c>
      <c r="G43" s="10" t="s">
        <v>96</v>
      </c>
      <c r="H43" s="11">
        <v>11200</v>
      </c>
      <c r="I43" s="11">
        <v>2285</v>
      </c>
      <c r="J43" s="11">
        <v>255.92</v>
      </c>
      <c r="K43" s="12">
        <v>5.0000000000000001E-4</v>
      </c>
      <c r="L43" s="12">
        <v>5.9999999999999995E-4</v>
      </c>
      <c r="M43" s="12">
        <f>J43/'סכום נכסי הקרן'!$C$42</f>
        <v>7.0376353306990426E-5</v>
      </c>
    </row>
    <row r="44" spans="2:13">
      <c r="B44" s="10" t="s">
        <v>951</v>
      </c>
      <c r="C44" s="43">
        <v>1130046</v>
      </c>
      <c r="D44" s="10" t="s">
        <v>138</v>
      </c>
      <c r="E44" s="10">
        <v>1296</v>
      </c>
      <c r="F44" s="10" t="s">
        <v>941</v>
      </c>
      <c r="G44" s="10" t="s">
        <v>96</v>
      </c>
      <c r="H44" s="11">
        <v>14000</v>
      </c>
      <c r="I44" s="11">
        <v>1917</v>
      </c>
      <c r="J44" s="11">
        <v>268.38</v>
      </c>
      <c r="K44" s="12">
        <v>1E-4</v>
      </c>
      <c r="L44" s="12">
        <v>5.9999999999999995E-4</v>
      </c>
      <c r="M44" s="12">
        <f>J44/'סכום נכסי הקרן'!$C$42</f>
        <v>7.3802773134300147E-5</v>
      </c>
    </row>
    <row r="45" spans="2:13">
      <c r="B45" s="10" t="s">
        <v>952</v>
      </c>
      <c r="C45" s="43">
        <v>1123652</v>
      </c>
      <c r="D45" s="10" t="s">
        <v>138</v>
      </c>
      <c r="E45" s="10">
        <v>1446</v>
      </c>
      <c r="F45" s="10" t="s">
        <v>941</v>
      </c>
      <c r="G45" s="10" t="s">
        <v>96</v>
      </c>
      <c r="H45" s="11">
        <v>14000</v>
      </c>
      <c r="I45" s="11">
        <v>4476</v>
      </c>
      <c r="J45" s="11">
        <v>626.64</v>
      </c>
      <c r="K45" s="12">
        <v>8.9999999999999998E-4</v>
      </c>
      <c r="L45" s="12">
        <v>1.4E-3</v>
      </c>
      <c r="M45" s="12">
        <f>J45/'סכום נכסי הקרן'!$C$42</f>
        <v>1.7232196794425008E-4</v>
      </c>
    </row>
    <row r="46" spans="2:13">
      <c r="B46" s="10" t="s">
        <v>953</v>
      </c>
      <c r="C46" s="43">
        <v>1120203</v>
      </c>
      <c r="D46" s="10" t="s">
        <v>138</v>
      </c>
      <c r="E46" s="10">
        <v>1446</v>
      </c>
      <c r="F46" s="10" t="s">
        <v>941</v>
      </c>
      <c r="G46" s="10" t="s">
        <v>96</v>
      </c>
      <c r="H46" s="11">
        <v>2000</v>
      </c>
      <c r="I46" s="11">
        <v>11080</v>
      </c>
      <c r="J46" s="11">
        <v>221.6</v>
      </c>
      <c r="K46" s="12">
        <v>1E-4</v>
      </c>
      <c r="L46" s="12">
        <v>5.0000000000000001E-4</v>
      </c>
      <c r="M46" s="12">
        <f>J46/'סכום נכסי הקרן'!$C$42</f>
        <v>6.0938574135781023E-5</v>
      </c>
    </row>
    <row r="47" spans="2:13">
      <c r="B47" s="10" t="s">
        <v>954</v>
      </c>
      <c r="C47" s="43">
        <v>1118801</v>
      </c>
      <c r="D47" s="10" t="s">
        <v>138</v>
      </c>
      <c r="E47" s="10">
        <v>1446</v>
      </c>
      <c r="F47" s="10" t="s">
        <v>941</v>
      </c>
      <c r="G47" s="10" t="s">
        <v>96</v>
      </c>
      <c r="H47" s="11">
        <v>1000</v>
      </c>
      <c r="I47" s="11">
        <v>19790</v>
      </c>
      <c r="J47" s="11">
        <v>197.9</v>
      </c>
      <c r="K47" s="12">
        <v>1E-4</v>
      </c>
      <c r="L47" s="12">
        <v>4.0000000000000002E-4</v>
      </c>
      <c r="M47" s="12">
        <f>J47/'סכום נכסי הקרן'!$C$42</f>
        <v>5.4421226631187117E-5</v>
      </c>
    </row>
    <row r="48" spans="2:13">
      <c r="B48" s="10" t="s">
        <v>955</v>
      </c>
      <c r="C48" s="43">
        <v>1120195</v>
      </c>
      <c r="D48" s="10" t="s">
        <v>138</v>
      </c>
      <c r="E48" s="10">
        <v>1446</v>
      </c>
      <c r="F48" s="10" t="s">
        <v>941</v>
      </c>
      <c r="G48" s="10" t="s">
        <v>96</v>
      </c>
      <c r="H48" s="11">
        <v>40000</v>
      </c>
      <c r="I48" s="11">
        <v>5121</v>
      </c>
      <c r="J48" s="11">
        <v>2048.4</v>
      </c>
      <c r="K48" s="12">
        <v>2.7000000000000001E-3</v>
      </c>
      <c r="L48" s="12">
        <v>4.4999999999999997E-3</v>
      </c>
      <c r="M48" s="12">
        <f>J48/'סכום נכסי הקרן'!$C$42</f>
        <v>5.6329681976414201E-4</v>
      </c>
    </row>
    <row r="49" spans="2:13">
      <c r="B49" s="10" t="s">
        <v>956</v>
      </c>
      <c r="C49" s="43">
        <v>1116060</v>
      </c>
      <c r="D49" s="10" t="s">
        <v>138</v>
      </c>
      <c r="E49" s="10">
        <v>1446</v>
      </c>
      <c r="F49" s="10" t="s">
        <v>941</v>
      </c>
      <c r="G49" s="10" t="s">
        <v>96</v>
      </c>
      <c r="H49" s="11">
        <v>4780</v>
      </c>
      <c r="I49" s="11">
        <v>25050</v>
      </c>
      <c r="J49" s="11">
        <v>1197.3900000000001</v>
      </c>
      <c r="K49" s="12">
        <v>4.0000000000000002E-4</v>
      </c>
      <c r="L49" s="12">
        <v>2.7000000000000001E-3</v>
      </c>
      <c r="M49" s="12">
        <f>J49/'סכום נכסי הקרן'!$C$42</f>
        <v>3.2927454550741355E-4</v>
      </c>
    </row>
    <row r="50" spans="2:13">
      <c r="B50" s="10" t="s">
        <v>957</v>
      </c>
      <c r="C50" s="43">
        <v>1117324</v>
      </c>
      <c r="D50" s="10" t="s">
        <v>138</v>
      </c>
      <c r="E50" s="10">
        <v>1224</v>
      </c>
      <c r="F50" s="10" t="s">
        <v>941</v>
      </c>
      <c r="G50" s="10" t="s">
        <v>96</v>
      </c>
      <c r="H50" s="11">
        <v>10171</v>
      </c>
      <c r="I50" s="11">
        <v>8773</v>
      </c>
      <c r="J50" s="11">
        <v>892.3</v>
      </c>
      <c r="K50" s="12">
        <v>2.0000000000000001E-4</v>
      </c>
      <c r="L50" s="12">
        <v>2E-3</v>
      </c>
      <c r="M50" s="12">
        <f>J50/'סכום נכסי הקרן'!$C$42</f>
        <v>2.4537675858013269E-4</v>
      </c>
    </row>
    <row r="51" spans="2:13">
      <c r="B51" s="10" t="s">
        <v>958</v>
      </c>
      <c r="C51" s="43">
        <v>1138957</v>
      </c>
      <c r="D51" s="10" t="s">
        <v>138</v>
      </c>
      <c r="E51" s="10">
        <v>1224</v>
      </c>
      <c r="F51" s="10" t="s">
        <v>941</v>
      </c>
      <c r="G51" s="10" t="s">
        <v>96</v>
      </c>
      <c r="H51" s="11">
        <v>3000</v>
      </c>
      <c r="I51" s="11">
        <v>6604</v>
      </c>
      <c r="J51" s="11">
        <v>198.12</v>
      </c>
      <c r="K51" s="12">
        <v>2.0000000000000001E-4</v>
      </c>
      <c r="L51" s="12">
        <v>4.0000000000000002E-4</v>
      </c>
      <c r="M51" s="12">
        <f>J51/'סכום נכסי הקרן'!$C$42</f>
        <v>5.4481725215617948E-5</v>
      </c>
    </row>
    <row r="52" spans="2:13">
      <c r="B52" s="10" t="s">
        <v>959</v>
      </c>
      <c r="C52" s="43">
        <v>1116912</v>
      </c>
      <c r="D52" s="10" t="s">
        <v>138</v>
      </c>
      <c r="E52" s="10">
        <v>1224</v>
      </c>
      <c r="F52" s="10" t="s">
        <v>941</v>
      </c>
      <c r="G52" s="10" t="s">
        <v>96</v>
      </c>
      <c r="H52" s="11">
        <v>34641</v>
      </c>
      <c r="I52" s="11">
        <v>4326</v>
      </c>
      <c r="J52" s="11">
        <v>1498.57</v>
      </c>
      <c r="K52" s="12">
        <v>1.6999999999999999E-3</v>
      </c>
      <c r="L52" s="12">
        <v>3.3E-3</v>
      </c>
      <c r="M52" s="12">
        <f>J52/'סכום נכסי הקרן'!$C$42</f>
        <v>4.1209710759321916E-4</v>
      </c>
    </row>
    <row r="53" spans="2:13">
      <c r="B53" s="10" t="s">
        <v>960</v>
      </c>
      <c r="C53" s="43">
        <v>1121441</v>
      </c>
      <c r="D53" s="10" t="s">
        <v>138</v>
      </c>
      <c r="E53" s="10">
        <v>1224</v>
      </c>
      <c r="F53" s="10" t="s">
        <v>941</v>
      </c>
      <c r="G53" s="10" t="s">
        <v>96</v>
      </c>
      <c r="H53" s="11">
        <v>160600</v>
      </c>
      <c r="I53" s="11">
        <v>11100</v>
      </c>
      <c r="J53" s="11">
        <v>17826.599999999999</v>
      </c>
      <c r="K53" s="12">
        <v>1.0500000000000001E-2</v>
      </c>
      <c r="L53" s="12">
        <v>3.95E-2</v>
      </c>
      <c r="M53" s="12">
        <f>J53/'סכום נכסי הקרן'!$C$42</f>
        <v>4.9022002964301172E-3</v>
      </c>
    </row>
    <row r="54" spans="2:13">
      <c r="B54" s="10" t="s">
        <v>961</v>
      </c>
      <c r="C54" s="43">
        <v>1117282</v>
      </c>
      <c r="D54" s="10" t="s">
        <v>138</v>
      </c>
      <c r="E54" s="10">
        <v>1224</v>
      </c>
      <c r="F54" s="10" t="s">
        <v>941</v>
      </c>
      <c r="G54" s="10" t="s">
        <v>96</v>
      </c>
      <c r="H54" s="11">
        <v>2008</v>
      </c>
      <c r="I54" s="11">
        <v>12910</v>
      </c>
      <c r="J54" s="11">
        <v>259.23</v>
      </c>
      <c r="K54" s="12">
        <v>1E-4</v>
      </c>
      <c r="L54" s="12">
        <v>5.9999999999999995E-4</v>
      </c>
      <c r="M54" s="12">
        <f>J54/'סכום נכסי הקרן'!$C$42</f>
        <v>7.128658200910883E-5</v>
      </c>
    </row>
    <row r="55" spans="2:13">
      <c r="B55" s="10" t="s">
        <v>962</v>
      </c>
      <c r="C55" s="43">
        <v>1099472</v>
      </c>
      <c r="D55" s="10" t="s">
        <v>138</v>
      </c>
      <c r="E55" s="10">
        <v>1224</v>
      </c>
      <c r="F55" s="10" t="s">
        <v>941</v>
      </c>
      <c r="G55" s="10" t="s">
        <v>96</v>
      </c>
      <c r="H55" s="11">
        <v>4500</v>
      </c>
      <c r="I55" s="11">
        <v>4034</v>
      </c>
      <c r="J55" s="11">
        <v>181.53</v>
      </c>
      <c r="K55" s="12">
        <v>2.9999999999999997E-4</v>
      </c>
      <c r="L55" s="12">
        <v>4.0000000000000002E-4</v>
      </c>
      <c r="M55" s="12">
        <f>J55/'סכום נכסי הקרן'!$C$42</f>
        <v>4.9919581962402206E-5</v>
      </c>
    </row>
    <row r="56" spans="2:13">
      <c r="B56" s="10" t="s">
        <v>963</v>
      </c>
      <c r="C56" s="43">
        <v>1116904</v>
      </c>
      <c r="D56" s="10" t="s">
        <v>138</v>
      </c>
      <c r="E56" s="10">
        <v>1224</v>
      </c>
      <c r="F56" s="10" t="s">
        <v>941</v>
      </c>
      <c r="G56" s="10" t="s">
        <v>96</v>
      </c>
      <c r="H56" s="11">
        <v>103000</v>
      </c>
      <c r="I56" s="11">
        <v>18170</v>
      </c>
      <c r="J56" s="11">
        <v>18715.099999999999</v>
      </c>
      <c r="K56" s="12">
        <v>7.6E-3</v>
      </c>
      <c r="L56" s="12">
        <v>4.1500000000000002E-2</v>
      </c>
      <c r="M56" s="12">
        <f>J56/'סכום נכסי הקרן'!$C$42</f>
        <v>5.1465320794609895E-3</v>
      </c>
    </row>
    <row r="57" spans="2:13">
      <c r="B57" s="10" t="s">
        <v>964</v>
      </c>
      <c r="C57" s="43">
        <v>1117647</v>
      </c>
      <c r="D57" s="10" t="s">
        <v>138</v>
      </c>
      <c r="E57" s="10">
        <v>1224</v>
      </c>
      <c r="F57" s="10" t="s">
        <v>941</v>
      </c>
      <c r="G57" s="10" t="s">
        <v>96</v>
      </c>
      <c r="H57" s="11">
        <v>2700</v>
      </c>
      <c r="I57" s="11">
        <v>5136</v>
      </c>
      <c r="J57" s="11">
        <v>138.66999999999999</v>
      </c>
      <c r="K57" s="12">
        <v>1E-4</v>
      </c>
      <c r="L57" s="12">
        <v>2.9999999999999997E-4</v>
      </c>
      <c r="M57" s="12">
        <f>J57/'סכום נכסי הקרן'!$C$42</f>
        <v>3.813335774101423E-5</v>
      </c>
    </row>
    <row r="58" spans="2:13">
      <c r="B58" s="10" t="s">
        <v>965</v>
      </c>
      <c r="C58" s="43">
        <v>1099464</v>
      </c>
      <c r="D58" s="10" t="s">
        <v>138</v>
      </c>
      <c r="E58" s="10">
        <v>1224</v>
      </c>
      <c r="F58" s="10" t="s">
        <v>941</v>
      </c>
      <c r="G58" s="10" t="s">
        <v>96</v>
      </c>
      <c r="H58" s="11">
        <v>30</v>
      </c>
      <c r="I58" s="11">
        <v>20900</v>
      </c>
      <c r="J58" s="11">
        <v>6.27</v>
      </c>
      <c r="K58" s="12">
        <v>0</v>
      </c>
      <c r="L58" s="12">
        <v>0</v>
      </c>
      <c r="M58" s="12">
        <f>J58/'סכום נכסי הקרן'!$C$42</f>
        <v>1.7242096562786417E-6</v>
      </c>
    </row>
    <row r="59" spans="2:13">
      <c r="B59" s="10" t="s">
        <v>966</v>
      </c>
      <c r="C59" s="43">
        <v>1116896</v>
      </c>
      <c r="D59" s="10" t="s">
        <v>138</v>
      </c>
      <c r="E59" s="10">
        <v>1224</v>
      </c>
      <c r="F59" s="10" t="s">
        <v>941</v>
      </c>
      <c r="G59" s="10" t="s">
        <v>96</v>
      </c>
      <c r="H59" s="11">
        <v>5500</v>
      </c>
      <c r="I59" s="11">
        <v>3269</v>
      </c>
      <c r="J59" s="11">
        <v>179.79</v>
      </c>
      <c r="K59" s="12">
        <v>4.0000000000000002E-4</v>
      </c>
      <c r="L59" s="12">
        <v>4.0000000000000002E-4</v>
      </c>
      <c r="M59" s="12">
        <f>J59/'סכום נכסי הקרן'!$C$42</f>
        <v>4.9441093158267467E-5</v>
      </c>
    </row>
    <row r="60" spans="2:13">
      <c r="B60" s="10" t="s">
        <v>967</v>
      </c>
      <c r="C60" s="43">
        <v>1095710</v>
      </c>
      <c r="D60" s="10" t="s">
        <v>138</v>
      </c>
      <c r="E60" s="10">
        <v>1223</v>
      </c>
      <c r="F60" s="10" t="s">
        <v>941</v>
      </c>
      <c r="G60" s="10" t="s">
        <v>96</v>
      </c>
      <c r="H60" s="11">
        <v>24294</v>
      </c>
      <c r="I60" s="11">
        <v>9371</v>
      </c>
      <c r="J60" s="11">
        <v>2276.59</v>
      </c>
      <c r="K60" s="12">
        <v>8.9999999999999998E-4</v>
      </c>
      <c r="L60" s="12">
        <v>5.0000000000000001E-3</v>
      </c>
      <c r="M60" s="12">
        <f>J60/'סכום נכסי הקרן'!$C$42</f>
        <v>6.2604760149719192E-4</v>
      </c>
    </row>
    <row r="61" spans="2:13">
      <c r="B61" s="10" t="s">
        <v>968</v>
      </c>
      <c r="C61" s="43">
        <v>1105402</v>
      </c>
      <c r="D61" s="10" t="s">
        <v>138</v>
      </c>
      <c r="E61" s="10">
        <v>1336</v>
      </c>
      <c r="F61" s="10" t="s">
        <v>941</v>
      </c>
      <c r="G61" s="10" t="s">
        <v>96</v>
      </c>
      <c r="H61" s="11">
        <v>593</v>
      </c>
      <c r="I61" s="11">
        <v>400.1</v>
      </c>
      <c r="J61" s="11">
        <v>2.37</v>
      </c>
      <c r="K61" s="12">
        <v>0</v>
      </c>
      <c r="L61" s="12">
        <v>0</v>
      </c>
      <c r="M61" s="12">
        <f>J61/'סכום נכסי הקרן'!$C$42</f>
        <v>6.5173475045939096E-7</v>
      </c>
    </row>
    <row r="62" spans="2:13">
      <c r="B62" s="10" t="s">
        <v>969</v>
      </c>
      <c r="C62" s="43">
        <v>1114891</v>
      </c>
      <c r="D62" s="10" t="s">
        <v>138</v>
      </c>
      <c r="E62" s="10">
        <v>1337</v>
      </c>
      <c r="F62" s="10" t="s">
        <v>941</v>
      </c>
      <c r="G62" s="10" t="s">
        <v>96</v>
      </c>
      <c r="H62" s="11">
        <v>1850</v>
      </c>
      <c r="I62" s="11">
        <v>11060</v>
      </c>
      <c r="J62" s="11">
        <v>204.61</v>
      </c>
      <c r="K62" s="12">
        <v>2.0000000000000001E-4</v>
      </c>
      <c r="L62" s="12">
        <v>5.0000000000000001E-4</v>
      </c>
      <c r="M62" s="12">
        <f>J62/'סכום נכסי הקרן'!$C$42</f>
        <v>5.6266433456327424E-5</v>
      </c>
    </row>
    <row r="63" spans="2:13">
      <c r="B63" s="10" t="s">
        <v>970</v>
      </c>
      <c r="C63" s="43">
        <v>1099373</v>
      </c>
      <c r="D63" s="10" t="s">
        <v>138</v>
      </c>
      <c r="E63" s="10">
        <v>1337</v>
      </c>
      <c r="F63" s="10" t="s">
        <v>941</v>
      </c>
      <c r="G63" s="10" t="s">
        <v>96</v>
      </c>
      <c r="H63" s="11">
        <v>7071</v>
      </c>
      <c r="I63" s="11">
        <v>4904</v>
      </c>
      <c r="J63" s="11">
        <v>346.76</v>
      </c>
      <c r="K63" s="12">
        <v>2.9999999999999997E-4</v>
      </c>
      <c r="L63" s="12">
        <v>8.0000000000000004E-4</v>
      </c>
      <c r="M63" s="12">
        <f>J63/'סכום נכסי הקרן'!$C$42</f>
        <v>9.5356768805611133E-5</v>
      </c>
    </row>
    <row r="64" spans="2:13">
      <c r="B64" s="10" t="s">
        <v>971</v>
      </c>
      <c r="C64" s="43">
        <v>1137579</v>
      </c>
      <c r="D64" s="10" t="s">
        <v>138</v>
      </c>
      <c r="E64" s="10">
        <v>1337</v>
      </c>
      <c r="F64" s="10" t="s">
        <v>941</v>
      </c>
      <c r="G64" s="10" t="s">
        <v>96</v>
      </c>
      <c r="H64" s="11">
        <v>3600</v>
      </c>
      <c r="I64" s="11">
        <v>11420</v>
      </c>
      <c r="J64" s="11">
        <v>411.12</v>
      </c>
      <c r="K64" s="12">
        <v>5.0000000000000001E-4</v>
      </c>
      <c r="L64" s="12">
        <v>8.9999999999999998E-4</v>
      </c>
      <c r="M64" s="12">
        <f>J64/'סכום נכסי הקרן'!$C$42</f>
        <v>1.1305535468728473E-4</v>
      </c>
    </row>
    <row r="65" spans="2:13">
      <c r="B65" s="10" t="s">
        <v>972</v>
      </c>
      <c r="C65" s="43">
        <v>1115542</v>
      </c>
      <c r="D65" s="10" t="s">
        <v>138</v>
      </c>
      <c r="E65" s="10">
        <v>1475</v>
      </c>
      <c r="F65" s="10" t="s">
        <v>941</v>
      </c>
      <c r="G65" s="10" t="s">
        <v>96</v>
      </c>
      <c r="H65" s="11">
        <v>2585</v>
      </c>
      <c r="I65" s="11">
        <v>4438</v>
      </c>
      <c r="J65" s="11">
        <v>114.72</v>
      </c>
      <c r="K65" s="12">
        <v>2.0000000000000001E-4</v>
      </c>
      <c r="L65" s="12">
        <v>2.9999999999999997E-4</v>
      </c>
      <c r="M65" s="12">
        <f>J65/'סכום נכסי הקרן'!$C$42</f>
        <v>3.1547261845021659E-5</v>
      </c>
    </row>
    <row r="66" spans="2:13">
      <c r="B66" s="10" t="s">
        <v>973</v>
      </c>
      <c r="C66" s="43">
        <v>1115559</v>
      </c>
      <c r="D66" s="10" t="s">
        <v>138</v>
      </c>
      <c r="E66" s="10">
        <v>1475</v>
      </c>
      <c r="F66" s="10" t="s">
        <v>941</v>
      </c>
      <c r="G66" s="10" t="s">
        <v>96</v>
      </c>
      <c r="H66" s="11">
        <v>3246</v>
      </c>
      <c r="I66" s="11">
        <v>464.2</v>
      </c>
      <c r="J66" s="11">
        <v>15.07</v>
      </c>
      <c r="K66" s="12">
        <v>0</v>
      </c>
      <c r="L66" s="12">
        <v>0</v>
      </c>
      <c r="M66" s="12">
        <f>J66/'סכום נכסי הקרן'!$C$42</f>
        <v>4.1441530335118233E-6</v>
      </c>
    </row>
    <row r="67" spans="2:13">
      <c r="B67" s="10" t="s">
        <v>974</v>
      </c>
      <c r="C67" s="43">
        <v>1095728</v>
      </c>
      <c r="D67" s="10" t="s">
        <v>138</v>
      </c>
      <c r="E67" s="10">
        <v>1223</v>
      </c>
      <c r="F67" s="10" t="s">
        <v>941</v>
      </c>
      <c r="G67" s="10" t="s">
        <v>96</v>
      </c>
      <c r="H67" s="11">
        <v>1297</v>
      </c>
      <c r="I67" s="11">
        <v>9660</v>
      </c>
      <c r="J67" s="11">
        <v>125.29</v>
      </c>
      <c r="K67" s="12">
        <v>1E-4</v>
      </c>
      <c r="L67" s="12">
        <v>2.9999999999999997E-4</v>
      </c>
      <c r="M67" s="12">
        <f>J67/'סכום נכסי הקרן'!$C$42</f>
        <v>3.4453943833357421E-5</v>
      </c>
    </row>
    <row r="68" spans="2:13">
      <c r="B68" s="10" t="s">
        <v>975</v>
      </c>
      <c r="C68" s="43">
        <v>1118777</v>
      </c>
      <c r="D68" s="10" t="s">
        <v>138</v>
      </c>
      <c r="E68" s="10">
        <v>1475</v>
      </c>
      <c r="F68" s="10" t="s">
        <v>941</v>
      </c>
      <c r="G68" s="10" t="s">
        <v>96</v>
      </c>
      <c r="H68" s="11">
        <v>12000</v>
      </c>
      <c r="I68" s="11">
        <v>5135</v>
      </c>
      <c r="J68" s="11">
        <v>616.20000000000005</v>
      </c>
      <c r="K68" s="12">
        <v>1.1000000000000001E-3</v>
      </c>
      <c r="L68" s="12">
        <v>1.4E-3</v>
      </c>
      <c r="M68" s="12">
        <f>J68/'סכום נכסי הקרן'!$C$42</f>
        <v>1.6945103511944166E-4</v>
      </c>
    </row>
    <row r="69" spans="2:13">
      <c r="B69" s="10" t="s">
        <v>976</v>
      </c>
      <c r="C69" s="43">
        <v>1135649</v>
      </c>
      <c r="D69" s="10" t="s">
        <v>138</v>
      </c>
      <c r="E69" s="10">
        <v>1336</v>
      </c>
      <c r="F69" s="10" t="s">
        <v>941</v>
      </c>
      <c r="G69" s="10" t="s">
        <v>96</v>
      </c>
      <c r="H69" s="11">
        <v>23</v>
      </c>
      <c r="I69" s="11">
        <v>9222</v>
      </c>
      <c r="J69" s="11">
        <v>2.12</v>
      </c>
      <c r="K69" s="12">
        <v>0</v>
      </c>
      <c r="L69" s="12">
        <v>0</v>
      </c>
      <c r="M69" s="12">
        <f>J69/'סכום נכסי הקרן'!$C$42</f>
        <v>5.8298635906072107E-7</v>
      </c>
    </row>
    <row r="70" spans="2:13">
      <c r="B70" s="10" t="s">
        <v>977</v>
      </c>
      <c r="C70" s="43">
        <v>1120971</v>
      </c>
      <c r="D70" s="10" t="s">
        <v>138</v>
      </c>
      <c r="E70" s="10">
        <v>1337</v>
      </c>
      <c r="F70" s="10" t="s">
        <v>941</v>
      </c>
      <c r="G70" s="10" t="s">
        <v>96</v>
      </c>
      <c r="H70" s="11">
        <v>45500</v>
      </c>
      <c r="I70" s="11">
        <v>1360</v>
      </c>
      <c r="J70" s="11">
        <v>618.79999999999995</v>
      </c>
      <c r="K70" s="12">
        <v>5.9999999999999995E-4</v>
      </c>
      <c r="L70" s="12">
        <v>1.4E-3</v>
      </c>
      <c r="M70" s="12">
        <f>J70/'סכום נכסי הקרן'!$C$42</f>
        <v>1.701660183899878E-4</v>
      </c>
    </row>
    <row r="71" spans="2:13">
      <c r="B71" s="10" t="s">
        <v>978</v>
      </c>
      <c r="C71" s="43">
        <v>1118785</v>
      </c>
      <c r="D71" s="10" t="s">
        <v>138</v>
      </c>
      <c r="E71" s="10">
        <v>1475</v>
      </c>
      <c r="F71" s="10" t="s">
        <v>941</v>
      </c>
      <c r="G71" s="10" t="s">
        <v>96</v>
      </c>
      <c r="H71" s="11">
        <v>36636</v>
      </c>
      <c r="I71" s="11">
        <v>2476</v>
      </c>
      <c r="J71" s="11">
        <v>907.11</v>
      </c>
      <c r="K71" s="12">
        <v>8.0000000000000004E-4</v>
      </c>
      <c r="L71" s="12">
        <v>2E-3</v>
      </c>
      <c r="M71" s="12">
        <f>J71/'סכום נכסי הקרן'!$C$42</f>
        <v>2.494494132865899E-4</v>
      </c>
    </row>
    <row r="72" spans="2:13">
      <c r="B72" s="10"/>
      <c r="C72" s="43"/>
      <c r="D72" s="10"/>
      <c r="E72" s="10"/>
      <c r="F72" s="10"/>
      <c r="G72" s="10"/>
      <c r="H72" s="11"/>
      <c r="I72" s="11"/>
      <c r="J72" s="11"/>
      <c r="K72" s="12"/>
      <c r="L72" s="12"/>
      <c r="M72" s="12"/>
    </row>
    <row r="73" spans="2:13">
      <c r="B73" s="39" t="s">
        <v>979</v>
      </c>
      <c r="C73" s="40"/>
      <c r="D73" s="39"/>
      <c r="E73" s="39"/>
      <c r="F73" s="39"/>
      <c r="G73" s="39"/>
      <c r="H73" s="42">
        <f>SUM(H74:H85)</f>
        <v>966391</v>
      </c>
      <c r="I73" s="42">
        <f>SUM(I74:I85)</f>
        <v>124804.56000000003</v>
      </c>
      <c r="J73" s="42">
        <f>SUM(J74:J85)</f>
        <v>22108.47</v>
      </c>
      <c r="K73" s="42"/>
      <c r="L73" s="51">
        <f>SUM(L74:L85)</f>
        <v>4.9599999999999998E-2</v>
      </c>
      <c r="M73" s="51">
        <f>SUM(M74:M85)</f>
        <v>6.0796869951430087E-3</v>
      </c>
    </row>
    <row r="74" spans="2:13">
      <c r="B74" s="10" t="s">
        <v>980</v>
      </c>
      <c r="C74" s="43">
        <v>1113257</v>
      </c>
      <c r="D74" s="10" t="s">
        <v>138</v>
      </c>
      <c r="E74" s="10">
        <v>1523</v>
      </c>
      <c r="F74" s="10" t="s">
        <v>981</v>
      </c>
      <c r="G74" s="10" t="s">
        <v>96</v>
      </c>
      <c r="H74" s="11">
        <v>25995</v>
      </c>
      <c r="I74" s="11">
        <v>307.91000000000003</v>
      </c>
      <c r="J74" s="11">
        <v>80.040000000000006</v>
      </c>
      <c r="K74" s="12">
        <v>1E-4</v>
      </c>
      <c r="L74" s="12">
        <v>2.0000000000000001E-4</v>
      </c>
      <c r="M74" s="12">
        <f>J74/'סכום נכסי הקרן'!$C$42</f>
        <v>2.2010484990198166E-5</v>
      </c>
    </row>
    <row r="75" spans="2:13">
      <c r="B75" s="10" t="s">
        <v>982</v>
      </c>
      <c r="C75" s="43">
        <v>1109479</v>
      </c>
      <c r="D75" s="10" t="s">
        <v>138</v>
      </c>
      <c r="E75" s="10">
        <v>1249</v>
      </c>
      <c r="F75" s="10" t="s">
        <v>981</v>
      </c>
      <c r="G75" s="10" t="s">
        <v>96</v>
      </c>
      <c r="H75" s="11">
        <v>105680</v>
      </c>
      <c r="I75" s="11">
        <v>309.89</v>
      </c>
      <c r="J75" s="11">
        <v>327.49</v>
      </c>
      <c r="K75" s="12">
        <v>2.0000000000000001E-4</v>
      </c>
      <c r="L75" s="12">
        <v>6.9999999999999999E-4</v>
      </c>
      <c r="M75" s="12">
        <f>J75/'סכום נכסי הקרן'!$C$42</f>
        <v>9.0057642796601667E-5</v>
      </c>
    </row>
    <row r="76" spans="2:13">
      <c r="B76" s="10" t="s">
        <v>983</v>
      </c>
      <c r="C76" s="43">
        <v>1104603</v>
      </c>
      <c r="D76" s="10" t="s">
        <v>138</v>
      </c>
      <c r="E76" s="10">
        <v>1446</v>
      </c>
      <c r="F76" s="10" t="s">
        <v>981</v>
      </c>
      <c r="G76" s="10" t="s">
        <v>96</v>
      </c>
      <c r="H76" s="11">
        <v>130000</v>
      </c>
      <c r="I76" s="11">
        <v>312.33</v>
      </c>
      <c r="J76" s="11">
        <v>406.03</v>
      </c>
      <c r="K76" s="12">
        <v>2.0000000000000001E-4</v>
      </c>
      <c r="L76" s="12">
        <v>8.9999999999999998E-4</v>
      </c>
      <c r="M76" s="12">
        <f>J76/'סכום נכסי הקרן'!$C$42</f>
        <v>1.116556374384078E-4</v>
      </c>
    </row>
    <row r="77" spans="2:13">
      <c r="B77" s="10" t="s">
        <v>984</v>
      </c>
      <c r="C77" s="43">
        <v>1109420</v>
      </c>
      <c r="D77" s="10" t="s">
        <v>138</v>
      </c>
      <c r="E77" s="10">
        <v>1446</v>
      </c>
      <c r="F77" s="10" t="s">
        <v>981</v>
      </c>
      <c r="G77" s="10" t="s">
        <v>96</v>
      </c>
      <c r="H77" s="11">
        <v>122928</v>
      </c>
      <c r="I77" s="11">
        <v>3064.11</v>
      </c>
      <c r="J77" s="11">
        <v>3766.65</v>
      </c>
      <c r="K77" s="12">
        <v>1.9E-3</v>
      </c>
      <c r="L77" s="12">
        <v>8.3000000000000001E-3</v>
      </c>
      <c r="M77" s="12">
        <f>J77/'סכום נכסי הקרן'!$C$42</f>
        <v>1.0358045138472004E-3</v>
      </c>
    </row>
    <row r="78" spans="2:13">
      <c r="B78" s="10" t="s">
        <v>985</v>
      </c>
      <c r="C78" s="43">
        <v>1116581</v>
      </c>
      <c r="D78" s="10" t="s">
        <v>138</v>
      </c>
      <c r="E78" s="10">
        <v>1249</v>
      </c>
      <c r="F78" s="10" t="s">
        <v>981</v>
      </c>
      <c r="G78" s="10" t="s">
        <v>96</v>
      </c>
      <c r="H78" s="11">
        <v>37460</v>
      </c>
      <c r="I78" s="11">
        <v>342.52</v>
      </c>
      <c r="J78" s="11">
        <v>128.31</v>
      </c>
      <c r="K78" s="12">
        <v>2.9999999999999997E-4</v>
      </c>
      <c r="L78" s="12">
        <v>2.9999999999999997E-4</v>
      </c>
      <c r="M78" s="12">
        <f>J78/'סכום נכסי הקרן'!$C$42</f>
        <v>3.5284424401453355E-5</v>
      </c>
    </row>
    <row r="79" spans="2:13">
      <c r="B79" s="10" t="s">
        <v>1190</v>
      </c>
      <c r="C79" s="43">
        <v>1128990</v>
      </c>
      <c r="D79" s="10" t="s">
        <v>138</v>
      </c>
      <c r="E79" s="10">
        <v>1249</v>
      </c>
      <c r="F79" s="10" t="s">
        <v>981</v>
      </c>
      <c r="G79" s="10" t="s">
        <v>96</v>
      </c>
      <c r="H79" s="11">
        <v>55</v>
      </c>
      <c r="I79" s="11">
        <v>27800</v>
      </c>
      <c r="J79" s="11">
        <v>15.29</v>
      </c>
      <c r="K79" s="12">
        <v>2.9999999999999997E-4</v>
      </c>
      <c r="L79" s="12">
        <v>2.9999999999999997E-4</v>
      </c>
      <c r="M79" s="12">
        <f>J79/'סכום נכסי הקרן'!$C$42</f>
        <v>4.2046516179426527E-6</v>
      </c>
    </row>
    <row r="80" spans="2:13">
      <c r="B80" s="10" t="s">
        <v>1192</v>
      </c>
      <c r="C80" s="43">
        <v>1128925</v>
      </c>
      <c r="D80" s="10" t="s">
        <v>138</v>
      </c>
      <c r="E80" s="10">
        <v>1249</v>
      </c>
      <c r="F80" s="10" t="s">
        <v>981</v>
      </c>
      <c r="G80" s="10" t="s">
        <v>96</v>
      </c>
      <c r="H80" s="11">
        <v>65</v>
      </c>
      <c r="I80" s="11">
        <v>40327</v>
      </c>
      <c r="J80" s="11">
        <v>26.21</v>
      </c>
      <c r="K80" s="12">
        <v>2.9999999999999997E-4</v>
      </c>
      <c r="L80" s="12">
        <v>2.9999999999999997E-4</v>
      </c>
      <c r="M80" s="12">
        <f>J80/'סכום נכסי הקרן'!$C$42</f>
        <v>7.2075813542365553E-6</v>
      </c>
    </row>
    <row r="81" spans="2:13">
      <c r="B81" s="10" t="s">
        <v>1193</v>
      </c>
      <c r="C81" s="43">
        <v>1129022</v>
      </c>
      <c r="D81" s="10" t="s">
        <v>138</v>
      </c>
      <c r="E81" s="10">
        <v>1249</v>
      </c>
      <c r="F81" s="10" t="s">
        <v>981</v>
      </c>
      <c r="G81" s="10" t="s">
        <v>96</v>
      </c>
      <c r="H81" s="11">
        <v>137</v>
      </c>
      <c r="I81" s="11">
        <v>39302</v>
      </c>
      <c r="J81" s="11">
        <v>53.84</v>
      </c>
      <c r="K81" s="12">
        <v>2.9999999999999997E-4</v>
      </c>
      <c r="L81" s="12">
        <v>2.9999999999999997E-4</v>
      </c>
      <c r="M81" s="12">
        <f>J81/'סכום נכסי הקרן'!$C$42</f>
        <v>1.4805653571617556E-5</v>
      </c>
    </row>
    <row r="82" spans="2:13">
      <c r="B82" s="10" t="s">
        <v>986</v>
      </c>
      <c r="C82" s="43">
        <v>1109248</v>
      </c>
      <c r="D82" s="10" t="s">
        <v>138</v>
      </c>
      <c r="E82" s="10">
        <v>1249</v>
      </c>
      <c r="F82" s="10" t="s">
        <v>981</v>
      </c>
      <c r="G82" s="10" t="s">
        <v>96</v>
      </c>
      <c r="H82" s="11">
        <v>141389</v>
      </c>
      <c r="I82" s="11">
        <v>3074.02</v>
      </c>
      <c r="J82" s="11">
        <v>4346.33</v>
      </c>
      <c r="K82" s="12">
        <v>1E-3</v>
      </c>
      <c r="L82" s="12">
        <v>9.5999999999999992E-3</v>
      </c>
      <c r="M82" s="12">
        <f>J82/'סכום נכסי הקרן'!$C$42</f>
        <v>1.1952127839511243E-3</v>
      </c>
    </row>
    <row r="83" spans="2:13">
      <c r="B83" s="10" t="s">
        <v>987</v>
      </c>
      <c r="C83" s="43">
        <v>1116334</v>
      </c>
      <c r="D83" s="10" t="s">
        <v>138</v>
      </c>
      <c r="E83" s="10">
        <v>1224</v>
      </c>
      <c r="F83" s="10" t="s">
        <v>981</v>
      </c>
      <c r="G83" s="10" t="s">
        <v>96</v>
      </c>
      <c r="H83" s="11">
        <v>21356</v>
      </c>
      <c r="I83" s="11">
        <v>3438.22</v>
      </c>
      <c r="J83" s="11">
        <v>734.27</v>
      </c>
      <c r="K83" s="12">
        <v>8.9999999999999998E-4</v>
      </c>
      <c r="L83" s="12">
        <v>1.6000000000000001E-3</v>
      </c>
      <c r="M83" s="12">
        <f>J83/'סכום נכסי הקרן'!$C$42</f>
        <v>2.0191952540920546E-4</v>
      </c>
    </row>
    <row r="84" spans="2:13">
      <c r="B84" s="10" t="s">
        <v>988</v>
      </c>
      <c r="C84" s="43">
        <v>1109362</v>
      </c>
      <c r="D84" s="10" t="s">
        <v>138</v>
      </c>
      <c r="E84" s="10">
        <v>1475</v>
      </c>
      <c r="F84" s="10" t="s">
        <v>981</v>
      </c>
      <c r="G84" s="10" t="s">
        <v>96</v>
      </c>
      <c r="H84" s="11">
        <v>255355</v>
      </c>
      <c r="I84" s="11">
        <v>3093.46</v>
      </c>
      <c r="J84" s="11">
        <v>7899.3</v>
      </c>
      <c r="K84" s="12">
        <v>1.6999999999999999E-3</v>
      </c>
      <c r="L84" s="12">
        <v>1.7500000000000002E-2</v>
      </c>
      <c r="M84" s="12">
        <f>J84/'סכום נכסי הקרן'!$C$42</f>
        <v>2.1722566727020534E-3</v>
      </c>
    </row>
    <row r="85" spans="2:13">
      <c r="B85" s="10" t="s">
        <v>989</v>
      </c>
      <c r="C85" s="43">
        <v>1116250</v>
      </c>
      <c r="D85" s="10" t="s">
        <v>138</v>
      </c>
      <c r="E85" s="10">
        <v>1336</v>
      </c>
      <c r="F85" s="10" t="s">
        <v>981</v>
      </c>
      <c r="G85" s="10" t="s">
        <v>96</v>
      </c>
      <c r="H85" s="11">
        <v>125971</v>
      </c>
      <c r="I85" s="11">
        <v>3433.1</v>
      </c>
      <c r="J85" s="11">
        <v>4324.71</v>
      </c>
      <c r="K85" s="12">
        <v>2.5999999999999999E-3</v>
      </c>
      <c r="L85" s="12">
        <v>9.5999999999999992E-3</v>
      </c>
      <c r="M85" s="12">
        <f>J85/'סכום נכסי הקרן'!$C$42</f>
        <v>1.1892674230629674E-3</v>
      </c>
    </row>
    <row r="86" spans="2:13">
      <c r="B86" s="10"/>
      <c r="C86" s="43"/>
      <c r="D86" s="10"/>
      <c r="E86" s="10"/>
      <c r="F86" s="10"/>
      <c r="G86" s="10"/>
      <c r="H86" s="11"/>
      <c r="I86" s="11"/>
      <c r="J86" s="11"/>
      <c r="K86" s="12"/>
      <c r="L86" s="12"/>
      <c r="M86" s="12"/>
    </row>
    <row r="87" spans="2:13">
      <c r="B87" s="39" t="s">
        <v>990</v>
      </c>
      <c r="C87" s="40"/>
      <c r="D87" s="39"/>
      <c r="E87" s="39"/>
      <c r="F87" s="39"/>
      <c r="G87" s="39"/>
      <c r="H87" s="42">
        <f>SUM(H88:H89)</f>
        <v>15822</v>
      </c>
      <c r="I87" s="42"/>
      <c r="J87" s="42">
        <f t="shared" ref="J87:M87" si="2">SUM(J88:J89)</f>
        <v>1492.8400000000001</v>
      </c>
      <c r="K87" s="42"/>
      <c r="L87" s="51">
        <f t="shared" si="2"/>
        <v>3.3E-3</v>
      </c>
      <c r="M87" s="51">
        <f t="shared" si="2"/>
        <v>2.2842994691812717E-2</v>
      </c>
    </row>
    <row r="88" spans="2:13">
      <c r="B88" s="10" t="s">
        <v>991</v>
      </c>
      <c r="C88" s="43">
        <v>1124114</v>
      </c>
      <c r="D88" s="10" t="s">
        <v>138</v>
      </c>
      <c r="E88" s="10">
        <v>1446</v>
      </c>
      <c r="F88" s="10" t="s">
        <v>992</v>
      </c>
      <c r="G88" s="10" t="s">
        <v>96</v>
      </c>
      <c r="H88" s="11">
        <v>1185</v>
      </c>
      <c r="I88" s="11">
        <v>9315</v>
      </c>
      <c r="J88" s="11">
        <v>110.38</v>
      </c>
      <c r="K88" s="12">
        <v>2.0000000000000001E-4</v>
      </c>
      <c r="L88" s="12">
        <v>2.0000000000000001E-4</v>
      </c>
      <c r="M88" s="12">
        <f>J88/'סכום נכסי הקרן'!C42</f>
        <v>3.0353789770340745E-5</v>
      </c>
    </row>
    <row r="89" spans="2:13">
      <c r="B89" s="10" t="s">
        <v>993</v>
      </c>
      <c r="C89" s="43">
        <v>1126705</v>
      </c>
      <c r="D89" s="10" t="s">
        <v>138</v>
      </c>
      <c r="E89" s="10">
        <v>1224</v>
      </c>
      <c r="F89" s="10" t="s">
        <v>992</v>
      </c>
      <c r="G89" s="10" t="s">
        <v>96</v>
      </c>
      <c r="H89" s="11">
        <v>14637</v>
      </c>
      <c r="I89" s="11">
        <v>9445</v>
      </c>
      <c r="J89" s="11">
        <v>1382.46</v>
      </c>
      <c r="K89" s="12">
        <v>1.4E-3</v>
      </c>
      <c r="L89" s="12">
        <v>3.0999999999999999E-3</v>
      </c>
      <c r="M89" s="12">
        <f>J89/'סכום נכסי הקרן'!C43</f>
        <v>2.2812640902042377E-2</v>
      </c>
    </row>
    <row r="90" spans="2:13">
      <c r="B90" s="10"/>
      <c r="C90" s="43"/>
      <c r="D90" s="10"/>
      <c r="E90" s="10"/>
      <c r="F90" s="10"/>
      <c r="G90" s="10"/>
      <c r="H90" s="11"/>
      <c r="I90" s="11"/>
      <c r="J90" s="11"/>
      <c r="K90" s="12"/>
      <c r="L90" s="12"/>
      <c r="M90" s="12"/>
    </row>
    <row r="91" spans="2:13">
      <c r="B91" s="39" t="s">
        <v>994</v>
      </c>
      <c r="C91" s="40"/>
      <c r="D91" s="39"/>
      <c r="E91" s="39"/>
      <c r="F91" s="39"/>
      <c r="G91" s="39"/>
      <c r="H91" s="42">
        <f>SUM(H92:H93)</f>
        <v>1022</v>
      </c>
      <c r="I91" s="42"/>
      <c r="J91" s="42">
        <f t="shared" ref="J91:M91" si="3">SUM(J92:J93)</f>
        <v>43.620000000000005</v>
      </c>
      <c r="K91" s="42"/>
      <c r="L91" s="51">
        <f t="shared" si="3"/>
        <v>1E-4</v>
      </c>
      <c r="M91" s="51">
        <f t="shared" si="3"/>
        <v>1.199521933123993E-5</v>
      </c>
    </row>
    <row r="92" spans="2:13">
      <c r="B92" s="10" t="s">
        <v>995</v>
      </c>
      <c r="C92" s="43">
        <v>1128966</v>
      </c>
      <c r="D92" s="10" t="s">
        <v>138</v>
      </c>
      <c r="E92" s="10">
        <v>1202</v>
      </c>
      <c r="F92" s="10" t="s">
        <v>184</v>
      </c>
      <c r="G92" s="10" t="s">
        <v>96</v>
      </c>
      <c r="H92" s="11">
        <v>6</v>
      </c>
      <c r="I92" s="11">
        <v>38500</v>
      </c>
      <c r="J92" s="11">
        <v>2.31</v>
      </c>
      <c r="K92" s="12">
        <v>0</v>
      </c>
      <c r="L92" s="12">
        <v>0</v>
      </c>
      <c r="M92" s="12">
        <f>J92/'סכום נכסי הקרן'!$C$42</f>
        <v>6.3523513652371015E-7</v>
      </c>
    </row>
    <row r="93" spans="2:13">
      <c r="B93" s="10" t="s">
        <v>996</v>
      </c>
      <c r="C93" s="43">
        <v>1113521</v>
      </c>
      <c r="D93" s="10" t="s">
        <v>138</v>
      </c>
      <c r="E93" s="10">
        <v>1336</v>
      </c>
      <c r="F93" s="10" t="s">
        <v>184</v>
      </c>
      <c r="G93" s="10" t="s">
        <v>96</v>
      </c>
      <c r="H93" s="11">
        <v>1016</v>
      </c>
      <c r="I93" s="11">
        <v>4065.91</v>
      </c>
      <c r="J93" s="11">
        <v>41.31</v>
      </c>
      <c r="K93" s="12">
        <v>2.0000000000000001E-4</v>
      </c>
      <c r="L93" s="12">
        <v>1E-4</v>
      </c>
      <c r="M93" s="12">
        <f>J93/'סכום נכסי הקרן'!$C$42</f>
        <v>1.1359984194716219E-5</v>
      </c>
    </row>
    <row r="94" spans="2:13">
      <c r="B94" s="10"/>
      <c r="C94" s="43"/>
      <c r="D94" s="10"/>
      <c r="E94" s="10"/>
      <c r="F94" s="10"/>
      <c r="G94" s="10"/>
      <c r="H94" s="11"/>
      <c r="I94" s="11"/>
      <c r="J94" s="11"/>
      <c r="K94" s="12"/>
      <c r="L94" s="12"/>
      <c r="M94" s="12"/>
    </row>
    <row r="95" spans="2:13">
      <c r="B95" s="39" t="s">
        <v>997</v>
      </c>
      <c r="C95" s="40"/>
      <c r="D95" s="39"/>
      <c r="E95" s="39"/>
      <c r="F95" s="39"/>
      <c r="G95" s="39"/>
      <c r="H95" s="42">
        <v>0</v>
      </c>
      <c r="I95" s="7"/>
      <c r="J95" s="42">
        <v>0</v>
      </c>
      <c r="K95" s="7"/>
      <c r="L95" s="41">
        <v>0</v>
      </c>
      <c r="M95" s="41">
        <v>0</v>
      </c>
    </row>
    <row r="96" spans="2:13">
      <c r="B96" s="39"/>
      <c r="C96" s="40"/>
      <c r="D96" s="39"/>
      <c r="E96" s="39"/>
      <c r="F96" s="39"/>
      <c r="G96" s="39"/>
      <c r="H96" s="42"/>
      <c r="I96" s="7"/>
      <c r="J96" s="42"/>
      <c r="K96" s="7"/>
      <c r="L96" s="41"/>
      <c r="M96" s="41"/>
    </row>
    <row r="97" spans="2:13">
      <c r="B97" s="8" t="s">
        <v>998</v>
      </c>
      <c r="C97" s="38"/>
      <c r="D97" s="8"/>
      <c r="E97" s="8"/>
      <c r="F97" s="8"/>
      <c r="G97" s="8"/>
      <c r="H97" s="13">
        <f>H99+H148+H158+H161</f>
        <v>1467370.72</v>
      </c>
      <c r="I97" s="13"/>
      <c r="J97" s="13">
        <f t="shared" ref="J97:M97" si="4">J99+J148+J158+J161</f>
        <v>345646.46569999983</v>
      </c>
      <c r="K97" s="13"/>
      <c r="L97" s="53">
        <f t="shared" si="4"/>
        <v>0.76750000000000007</v>
      </c>
      <c r="M97" s="53">
        <f t="shared" si="4"/>
        <v>9.5078322747653196E-2</v>
      </c>
    </row>
    <row r="98" spans="2:13">
      <c r="B98" s="8"/>
      <c r="C98" s="38"/>
      <c r="D98" s="8"/>
      <c r="E98" s="8"/>
      <c r="F98" s="8"/>
      <c r="G98" s="8"/>
      <c r="H98" s="13"/>
      <c r="I98" s="7"/>
      <c r="J98" s="13"/>
      <c r="K98" s="7"/>
      <c r="L98" s="14"/>
      <c r="M98" s="14"/>
    </row>
    <row r="99" spans="2:13">
      <c r="B99" s="39" t="s">
        <v>999</v>
      </c>
      <c r="C99" s="40"/>
      <c r="D99" s="39"/>
      <c r="E99" s="39"/>
      <c r="F99" s="39"/>
      <c r="G99" s="39"/>
      <c r="H99" s="42">
        <f>SUM(H100:H146)</f>
        <v>1443372.72</v>
      </c>
      <c r="I99" s="42">
        <f t="shared" ref="I99:M99" si="5">SUM(I100:I146)</f>
        <v>339203.3</v>
      </c>
      <c r="J99" s="42">
        <f t="shared" si="5"/>
        <v>341943.04569999984</v>
      </c>
      <c r="K99" s="42"/>
      <c r="L99" s="51">
        <f t="shared" si="5"/>
        <v>0.75910000000000011</v>
      </c>
      <c r="M99" s="51">
        <f t="shared" si="5"/>
        <v>9.4032137367347515E-2</v>
      </c>
    </row>
    <row r="100" spans="2:13">
      <c r="B100" s="10" t="s">
        <v>1000</v>
      </c>
      <c r="C100" s="43" t="s">
        <v>1001</v>
      </c>
      <c r="D100" s="10" t="s">
        <v>180</v>
      </c>
      <c r="E100" s="10"/>
      <c r="F100" s="10" t="s">
        <v>941</v>
      </c>
      <c r="G100" s="10" t="s">
        <v>43</v>
      </c>
      <c r="H100" s="11">
        <v>42880</v>
      </c>
      <c r="I100" s="11">
        <v>8209</v>
      </c>
      <c r="J100" s="11">
        <v>13530.95</v>
      </c>
      <c r="K100" s="7"/>
      <c r="L100" s="12">
        <v>0.03</v>
      </c>
      <c r="M100" s="12">
        <f>J100/'סכום נכסי הקרן'!$C$42</f>
        <v>3.7209241863833315E-3</v>
      </c>
    </row>
    <row r="101" spans="2:13">
      <c r="B101" s="10" t="s">
        <v>1002</v>
      </c>
      <c r="C101" s="43" t="s">
        <v>1003</v>
      </c>
      <c r="D101" s="10" t="s">
        <v>180</v>
      </c>
      <c r="E101" s="10"/>
      <c r="F101" s="10" t="s">
        <v>941</v>
      </c>
      <c r="G101" s="10" t="s">
        <v>43</v>
      </c>
      <c r="H101" s="11">
        <v>61530</v>
      </c>
      <c r="I101" s="11">
        <v>2354</v>
      </c>
      <c r="J101" s="11">
        <v>5567.71</v>
      </c>
      <c r="K101" s="7"/>
      <c r="L101" s="12">
        <v>1.23E-2</v>
      </c>
      <c r="M101" s="12">
        <f>J101/'סכום נכסי הקרן'!$C$42</f>
        <v>1.5310844250971541E-3</v>
      </c>
    </row>
    <row r="102" spans="2:13">
      <c r="B102" s="10" t="s">
        <v>1004</v>
      </c>
      <c r="C102" s="43" t="s">
        <v>1005</v>
      </c>
      <c r="D102" s="10" t="s">
        <v>180</v>
      </c>
      <c r="E102" s="10"/>
      <c r="F102" s="10" t="s">
        <v>941</v>
      </c>
      <c r="G102" s="10" t="s">
        <v>43</v>
      </c>
      <c r="H102" s="11">
        <v>72530</v>
      </c>
      <c r="I102" s="11">
        <v>7554</v>
      </c>
      <c r="J102" s="11">
        <v>21060.95</v>
      </c>
      <c r="K102" s="7"/>
      <c r="L102" s="12">
        <v>4.6699999999999998E-2</v>
      </c>
      <c r="M102" s="12">
        <f>J102/'סכום נכסי הקרן'!$C$42</f>
        <v>5.7916257353112701E-3</v>
      </c>
    </row>
    <row r="103" spans="2:13">
      <c r="B103" s="10" t="s">
        <v>1006</v>
      </c>
      <c r="C103" s="43" t="s">
        <v>1007</v>
      </c>
      <c r="D103" s="10" t="s">
        <v>180</v>
      </c>
      <c r="E103" s="10"/>
      <c r="F103" s="10" t="s">
        <v>941</v>
      </c>
      <c r="G103" s="10" t="s">
        <v>43</v>
      </c>
      <c r="H103" s="11">
        <v>93124</v>
      </c>
      <c r="I103" s="11">
        <v>2320</v>
      </c>
      <c r="J103" s="11">
        <v>8304.8700000000008</v>
      </c>
      <c r="K103" s="7"/>
      <c r="L103" s="12">
        <v>1.84E-2</v>
      </c>
      <c r="M103" s="12">
        <f>J103/'סכום נכסי הקרן'!$C$42</f>
        <v>2.283785813100288E-3</v>
      </c>
    </row>
    <row r="104" spans="2:13">
      <c r="B104" s="10" t="s">
        <v>1008</v>
      </c>
      <c r="C104" s="43" t="s">
        <v>1009</v>
      </c>
      <c r="D104" s="10" t="s">
        <v>180</v>
      </c>
      <c r="E104" s="10"/>
      <c r="F104" s="10" t="s">
        <v>941</v>
      </c>
      <c r="G104" s="10" t="s">
        <v>43</v>
      </c>
      <c r="H104" s="11">
        <v>300</v>
      </c>
      <c r="I104" s="11">
        <v>8053</v>
      </c>
      <c r="J104" s="11">
        <v>92.87</v>
      </c>
      <c r="K104" s="7"/>
      <c r="L104" s="12">
        <v>2.0000000000000001E-4</v>
      </c>
      <c r="M104" s="12">
        <f>J104/'סכום נכסי הקרן'!$C$42</f>
        <v>2.5538652436777908E-5</v>
      </c>
    </row>
    <row r="105" spans="2:13">
      <c r="B105" s="10" t="s">
        <v>1010</v>
      </c>
      <c r="C105" s="43" t="s">
        <v>1011</v>
      </c>
      <c r="D105" s="10" t="s">
        <v>180</v>
      </c>
      <c r="E105" s="10"/>
      <c r="F105" s="10" t="s">
        <v>941</v>
      </c>
      <c r="G105" s="10" t="s">
        <v>43</v>
      </c>
      <c r="H105" s="11">
        <v>2000</v>
      </c>
      <c r="I105" s="11">
        <v>8689</v>
      </c>
      <c r="J105" s="11">
        <v>668.01</v>
      </c>
      <c r="K105" s="7"/>
      <c r="L105" s="12">
        <v>1.5E-3</v>
      </c>
      <c r="M105" s="12">
        <f>J105/'סכום נכסי הקרן'!$C$42</f>
        <v>1.83698451752902E-4</v>
      </c>
    </row>
    <row r="106" spans="2:13">
      <c r="B106" s="10" t="s">
        <v>1012</v>
      </c>
      <c r="C106" s="43" t="s">
        <v>1013</v>
      </c>
      <c r="D106" s="10" t="s">
        <v>180</v>
      </c>
      <c r="E106" s="10"/>
      <c r="F106" s="10" t="s">
        <v>941</v>
      </c>
      <c r="G106" s="10" t="s">
        <v>43</v>
      </c>
      <c r="H106" s="11">
        <v>69786</v>
      </c>
      <c r="I106" s="11">
        <v>6919</v>
      </c>
      <c r="J106" s="11">
        <v>18560.73</v>
      </c>
      <c r="K106" s="7"/>
      <c r="L106" s="12">
        <v>4.1099999999999998E-2</v>
      </c>
      <c r="M106" s="12">
        <f>J106/'סכום נכסי הקרן'!$C$42</f>
        <v>5.1040813227401392E-3</v>
      </c>
    </row>
    <row r="107" spans="2:13">
      <c r="B107" s="10" t="s">
        <v>1014</v>
      </c>
      <c r="C107" s="43" t="s">
        <v>1015</v>
      </c>
      <c r="D107" s="10" t="s">
        <v>180</v>
      </c>
      <c r="E107" s="10"/>
      <c r="F107" s="10" t="s">
        <v>941</v>
      </c>
      <c r="G107" s="10" t="s">
        <v>43</v>
      </c>
      <c r="H107" s="11">
        <v>117230</v>
      </c>
      <c r="I107" s="11">
        <v>6244</v>
      </c>
      <c r="J107" s="11">
        <v>28137.47</v>
      </c>
      <c r="K107" s="7"/>
      <c r="L107" s="12">
        <v>6.2300000000000001E-2</v>
      </c>
      <c r="M107" s="12">
        <f>J107/'סכום נכסי הקרן'!$C$42</f>
        <v>7.7376232021133329E-3</v>
      </c>
    </row>
    <row r="108" spans="2:13">
      <c r="B108" s="10" t="s">
        <v>1017</v>
      </c>
      <c r="C108" s="43" t="s">
        <v>1016</v>
      </c>
      <c r="D108" s="10" t="s">
        <v>180</v>
      </c>
      <c r="E108" s="10"/>
      <c r="F108" s="10" t="s">
        <v>941</v>
      </c>
      <c r="G108" s="10" t="s">
        <v>43</v>
      </c>
      <c r="H108" s="11">
        <v>14500</v>
      </c>
      <c r="I108" s="11">
        <v>3481</v>
      </c>
      <c r="J108" s="11">
        <v>1940.24</v>
      </c>
      <c r="K108" s="7"/>
      <c r="L108" s="12">
        <v>4.3E-3</v>
      </c>
      <c r="M108" s="12">
        <f>J108/'סכום נכסי הקרן'!$C$42</f>
        <v>5.3355351570942133E-4</v>
      </c>
    </row>
    <row r="109" spans="2:13">
      <c r="B109" s="10" t="s">
        <v>1018</v>
      </c>
      <c r="C109" s="43" t="s">
        <v>1019</v>
      </c>
      <c r="D109" s="10" t="s">
        <v>539</v>
      </c>
      <c r="E109" s="10"/>
      <c r="F109" s="10" t="s">
        <v>941</v>
      </c>
      <c r="G109" s="10" t="s">
        <v>48</v>
      </c>
      <c r="H109" s="11">
        <v>34080</v>
      </c>
      <c r="I109" s="11">
        <v>10020</v>
      </c>
      <c r="J109" s="11">
        <v>13727.9</v>
      </c>
      <c r="K109" s="7"/>
      <c r="L109" s="12">
        <v>3.04E-2</v>
      </c>
      <c r="M109" s="12">
        <f>J109/'סכום נכסי הקרן'!$C$42</f>
        <v>3.7750841691272037E-3</v>
      </c>
    </row>
    <row r="110" spans="2:13">
      <c r="B110" s="10" t="s">
        <v>1020</v>
      </c>
      <c r="C110" s="43" t="s">
        <v>1021</v>
      </c>
      <c r="D110" s="10" t="s">
        <v>180</v>
      </c>
      <c r="E110" s="10"/>
      <c r="F110" s="10" t="s">
        <v>941</v>
      </c>
      <c r="G110" s="10" t="s">
        <v>43</v>
      </c>
      <c r="H110" s="11">
        <v>600</v>
      </c>
      <c r="I110" s="11">
        <v>8253</v>
      </c>
      <c r="J110" s="11">
        <v>190.35</v>
      </c>
      <c r="K110" s="7"/>
      <c r="L110" s="12">
        <v>4.0000000000000002E-4</v>
      </c>
      <c r="M110" s="12">
        <f>J110/'סכום נכסי הקרן'!$C$42</f>
        <v>5.2345025210947284E-5</v>
      </c>
    </row>
    <row r="111" spans="2:13">
      <c r="B111" s="10" t="s">
        <v>1022</v>
      </c>
      <c r="C111" s="43" t="s">
        <v>1023</v>
      </c>
      <c r="D111" s="10" t="s">
        <v>180</v>
      </c>
      <c r="E111" s="10"/>
      <c r="F111" s="10" t="s">
        <v>941</v>
      </c>
      <c r="G111" s="10" t="s">
        <v>43</v>
      </c>
      <c r="H111" s="11">
        <v>77700</v>
      </c>
      <c r="I111" s="11">
        <v>4921</v>
      </c>
      <c r="J111" s="11">
        <v>14697.98</v>
      </c>
      <c r="K111" s="7"/>
      <c r="L111" s="12">
        <v>3.2599999999999997E-2</v>
      </c>
      <c r="M111" s="12">
        <f>J111/'סכום נכסי הקרן'!$C$42</f>
        <v>4.0418499272392907E-3</v>
      </c>
    </row>
    <row r="112" spans="2:13">
      <c r="B112" s="10" t="s">
        <v>1025</v>
      </c>
      <c r="C112" s="43" t="s">
        <v>1024</v>
      </c>
      <c r="D112" s="10" t="s">
        <v>180</v>
      </c>
      <c r="E112" s="10"/>
      <c r="F112" s="10" t="s">
        <v>941</v>
      </c>
      <c r="G112" s="10" t="s">
        <v>43</v>
      </c>
      <c r="H112" s="11">
        <v>5100</v>
      </c>
      <c r="I112" s="11">
        <v>2774</v>
      </c>
      <c r="J112" s="11">
        <v>543.83000000000004</v>
      </c>
      <c r="K112" s="7"/>
      <c r="L112" s="12">
        <v>1.1999999999999999E-3</v>
      </c>
      <c r="M112" s="12">
        <f>J112/'סכום נכסי הקרן'!$C$42</f>
        <v>1.4954975077735469E-4</v>
      </c>
    </row>
    <row r="113" spans="2:13">
      <c r="B113" s="10" t="s">
        <v>1026</v>
      </c>
      <c r="C113" s="43" t="s">
        <v>1027</v>
      </c>
      <c r="D113" s="10" t="s">
        <v>180</v>
      </c>
      <c r="E113" s="10"/>
      <c r="F113" s="10" t="s">
        <v>941</v>
      </c>
      <c r="G113" s="10" t="s">
        <v>43</v>
      </c>
      <c r="H113" s="11">
        <v>4100</v>
      </c>
      <c r="I113" s="11">
        <v>16345</v>
      </c>
      <c r="J113" s="11">
        <v>2576.04</v>
      </c>
      <c r="K113" s="7"/>
      <c r="L113" s="12">
        <v>5.7000000000000002E-3</v>
      </c>
      <c r="M113" s="12">
        <f>J113/'סכום נכסי הקרן'!$C$42</f>
        <v>7.0839442471451876E-4</v>
      </c>
    </row>
    <row r="114" spans="2:13">
      <c r="B114" s="10" t="s">
        <v>1028</v>
      </c>
      <c r="C114" s="43" t="s">
        <v>1029</v>
      </c>
      <c r="D114" s="10" t="s">
        <v>180</v>
      </c>
      <c r="E114" s="10"/>
      <c r="F114" s="10" t="s">
        <v>941</v>
      </c>
      <c r="G114" s="10" t="s">
        <v>43</v>
      </c>
      <c r="H114" s="11">
        <v>770</v>
      </c>
      <c r="I114" s="11">
        <v>3859</v>
      </c>
      <c r="J114" s="11">
        <v>114.22</v>
      </c>
      <c r="K114" s="7"/>
      <c r="L114" s="12">
        <v>2.9999999999999997E-4</v>
      </c>
      <c r="M114" s="12">
        <f>J114/'סכום נכסי הקרן'!$C$42</f>
        <v>3.1409765062224317E-5</v>
      </c>
    </row>
    <row r="115" spans="2:13">
      <c r="B115" s="10" t="s">
        <v>1030</v>
      </c>
      <c r="C115" s="43" t="s">
        <v>1031</v>
      </c>
      <c r="D115" s="10" t="s">
        <v>180</v>
      </c>
      <c r="E115" s="10"/>
      <c r="F115" s="10" t="s">
        <v>941</v>
      </c>
      <c r="G115" s="10" t="s">
        <v>43</v>
      </c>
      <c r="H115" s="11">
        <v>104800</v>
      </c>
      <c r="I115" s="11">
        <v>3366</v>
      </c>
      <c r="J115" s="11">
        <v>13559.97</v>
      </c>
      <c r="K115" s="7"/>
      <c r="L115" s="12">
        <v>0.03</v>
      </c>
      <c r="M115" s="12">
        <f>J115/'סכום נכסי הקרן'!$C$42</f>
        <v>3.7289044996568891E-3</v>
      </c>
    </row>
    <row r="116" spans="2:13">
      <c r="B116" s="10" t="s">
        <v>1032</v>
      </c>
      <c r="C116" s="43" t="s">
        <v>1033</v>
      </c>
      <c r="D116" s="10" t="s">
        <v>180</v>
      </c>
      <c r="E116" s="10"/>
      <c r="F116" s="10" t="s">
        <v>941</v>
      </c>
      <c r="G116" s="10" t="s">
        <v>43</v>
      </c>
      <c r="H116" s="11">
        <v>218</v>
      </c>
      <c r="I116" s="11">
        <v>3526</v>
      </c>
      <c r="J116" s="11">
        <v>29.55</v>
      </c>
      <c r="K116" s="7"/>
      <c r="L116" s="12">
        <v>1E-4</v>
      </c>
      <c r="M116" s="12">
        <f>J116/'סכום נכסי הקרן'!$C$42</f>
        <v>8.1260598633227862E-6</v>
      </c>
    </row>
    <row r="117" spans="2:13">
      <c r="B117" s="10" t="s">
        <v>1034</v>
      </c>
      <c r="C117" s="43" t="s">
        <v>1035</v>
      </c>
      <c r="D117" s="10" t="s">
        <v>180</v>
      </c>
      <c r="E117" s="10"/>
      <c r="F117" s="10" t="s">
        <v>941</v>
      </c>
      <c r="G117" s="10" t="s">
        <v>43</v>
      </c>
      <c r="H117" s="11">
        <v>25426</v>
      </c>
      <c r="I117" s="11">
        <v>2634</v>
      </c>
      <c r="J117" s="11">
        <v>2574.41</v>
      </c>
      <c r="K117" s="7"/>
      <c r="L117" s="12">
        <v>5.7000000000000002E-3</v>
      </c>
      <c r="M117" s="12">
        <f>J117/'סכום נכסי הקרן'!$C$42</f>
        <v>7.0794618520259934E-4</v>
      </c>
    </row>
    <row r="118" spans="2:13">
      <c r="B118" s="10" t="s">
        <v>1036</v>
      </c>
      <c r="C118" s="43" t="s">
        <v>1037</v>
      </c>
      <c r="D118" s="10" t="s">
        <v>180</v>
      </c>
      <c r="E118" s="10"/>
      <c r="F118" s="10" t="s">
        <v>941</v>
      </c>
      <c r="G118" s="10" t="s">
        <v>43</v>
      </c>
      <c r="H118" s="11">
        <v>13725</v>
      </c>
      <c r="I118" s="11">
        <v>2410</v>
      </c>
      <c r="J118" s="11">
        <v>1271.49</v>
      </c>
      <c r="K118" s="7"/>
      <c r="L118" s="12">
        <v>2.8E-3</v>
      </c>
      <c r="M118" s="12">
        <f>J118/'סכום נכסי הקרן'!$C$42</f>
        <v>3.4965156871797932E-4</v>
      </c>
    </row>
    <row r="119" spans="2:13">
      <c r="B119" s="10" t="s">
        <v>1038</v>
      </c>
      <c r="C119" s="43" t="s">
        <v>1039</v>
      </c>
      <c r="D119" s="10" t="s">
        <v>180</v>
      </c>
      <c r="E119" s="10"/>
      <c r="F119" s="10" t="s">
        <v>941</v>
      </c>
      <c r="G119" s="10" t="s">
        <v>43</v>
      </c>
      <c r="H119" s="11">
        <v>93.75</v>
      </c>
      <c r="I119" s="11">
        <v>4888</v>
      </c>
      <c r="J119" s="11">
        <v>17.62</v>
      </c>
      <c r="K119" s="7"/>
      <c r="L119" s="12">
        <v>0</v>
      </c>
      <c r="M119" s="12">
        <f>J119/'סכום נכסי הקרן'!$C$42</f>
        <v>4.8453866257782567E-6</v>
      </c>
    </row>
    <row r="120" spans="2:13">
      <c r="B120" s="10" t="s">
        <v>1040</v>
      </c>
      <c r="C120" s="43" t="s">
        <v>1041</v>
      </c>
      <c r="D120" s="10" t="s">
        <v>180</v>
      </c>
      <c r="E120" s="10"/>
      <c r="F120" s="10" t="s">
        <v>941</v>
      </c>
      <c r="G120" s="10" t="s">
        <v>43</v>
      </c>
      <c r="H120" s="11">
        <v>13220</v>
      </c>
      <c r="I120" s="11">
        <v>4421</v>
      </c>
      <c r="J120" s="11">
        <v>2246.65</v>
      </c>
      <c r="K120" s="7"/>
      <c r="L120" s="12">
        <v>5.0000000000000001E-3</v>
      </c>
      <c r="M120" s="12">
        <f>J120/'סכום נכסי הקרן'!$C$42</f>
        <v>6.1781429414328726E-4</v>
      </c>
    </row>
    <row r="121" spans="2:13">
      <c r="B121" s="10" t="s">
        <v>1042</v>
      </c>
      <c r="C121" s="43" t="s">
        <v>1043</v>
      </c>
      <c r="D121" s="10" t="s">
        <v>180</v>
      </c>
      <c r="E121" s="10"/>
      <c r="F121" s="10" t="s">
        <v>941</v>
      </c>
      <c r="G121" s="10" t="s">
        <v>43</v>
      </c>
      <c r="H121" s="11">
        <v>9675</v>
      </c>
      <c r="I121" s="11">
        <v>3049</v>
      </c>
      <c r="J121" s="11">
        <v>1133.94</v>
      </c>
      <c r="K121" s="7"/>
      <c r="L121" s="12">
        <v>2.5000000000000001E-3</v>
      </c>
      <c r="M121" s="12">
        <f>J121/'סכום נכסי הקרן'!$C$42</f>
        <v>3.1182620377043116E-4</v>
      </c>
    </row>
    <row r="122" spans="2:13">
      <c r="B122" s="10" t="s">
        <v>1044</v>
      </c>
      <c r="C122" s="43" t="s">
        <v>1045</v>
      </c>
      <c r="D122" s="10" t="s">
        <v>180</v>
      </c>
      <c r="E122" s="10"/>
      <c r="F122" s="10" t="s">
        <v>941</v>
      </c>
      <c r="G122" s="10" t="s">
        <v>43</v>
      </c>
      <c r="H122" s="11">
        <v>775</v>
      </c>
      <c r="I122" s="11">
        <v>26711</v>
      </c>
      <c r="J122" s="11">
        <v>795.75</v>
      </c>
      <c r="K122" s="7"/>
      <c r="L122" s="12">
        <v>1.8E-3</v>
      </c>
      <c r="M122" s="12">
        <f>J122/'סכום נכסי הקרן'!$C$42</f>
        <v>2.1882612982196639E-4</v>
      </c>
    </row>
    <row r="123" spans="2:13">
      <c r="B123" s="10" t="s">
        <v>1046</v>
      </c>
      <c r="C123" s="43" t="s">
        <v>1047</v>
      </c>
      <c r="D123" s="10" t="s">
        <v>180</v>
      </c>
      <c r="E123" s="10"/>
      <c r="F123" s="10" t="s">
        <v>941</v>
      </c>
      <c r="G123" s="10" t="s">
        <v>43</v>
      </c>
      <c r="H123" s="11">
        <v>21000</v>
      </c>
      <c r="I123" s="11">
        <v>12496</v>
      </c>
      <c r="J123" s="11">
        <v>10087.27</v>
      </c>
      <c r="K123" s="7"/>
      <c r="L123" s="12">
        <v>2.23E-2</v>
      </c>
      <c r="M123" s="12">
        <f>J123/'סכום נכסי הקרן'!$C$42</f>
        <v>2.7739343444162451E-3</v>
      </c>
    </row>
    <row r="124" spans="2:13">
      <c r="B124" s="10" t="s">
        <v>1048</v>
      </c>
      <c r="C124" s="43" t="s">
        <v>1049</v>
      </c>
      <c r="D124" s="10" t="s">
        <v>180</v>
      </c>
      <c r="E124" s="10"/>
      <c r="F124" s="10" t="s">
        <v>941</v>
      </c>
      <c r="G124" s="10" t="s">
        <v>43</v>
      </c>
      <c r="H124" s="11">
        <v>1950</v>
      </c>
      <c r="I124" s="11">
        <v>13537</v>
      </c>
      <c r="J124" s="11">
        <v>1014.71</v>
      </c>
      <c r="K124" s="7"/>
      <c r="L124" s="12">
        <v>2.2000000000000001E-3</v>
      </c>
      <c r="M124" s="12">
        <f>J124/'סכום נכסי הקרן'!$C$42</f>
        <v>2.7903872094457748E-4</v>
      </c>
    </row>
    <row r="125" spans="2:13">
      <c r="B125" s="10" t="s">
        <v>1050</v>
      </c>
      <c r="C125" s="43" t="s">
        <v>1051</v>
      </c>
      <c r="D125" s="10" t="s">
        <v>539</v>
      </c>
      <c r="E125" s="10"/>
      <c r="F125" s="10" t="s">
        <v>941</v>
      </c>
      <c r="G125" s="10" t="s">
        <v>48</v>
      </c>
      <c r="H125" s="11">
        <v>150300</v>
      </c>
      <c r="I125" s="11">
        <v>1718.3</v>
      </c>
      <c r="J125" s="11">
        <f>10382.33-100</f>
        <v>10282.33</v>
      </c>
      <c r="K125" s="7"/>
      <c r="L125" s="12">
        <v>2.3E-2</v>
      </c>
      <c r="M125" s="12">
        <f>J125/'סכום נכסי הקרן'!$C$42</f>
        <v>2.8275745893211429E-3</v>
      </c>
    </row>
    <row r="126" spans="2:13">
      <c r="B126" s="10" t="s">
        <v>1052</v>
      </c>
      <c r="C126" s="43" t="s">
        <v>1053</v>
      </c>
      <c r="D126" s="10" t="s">
        <v>180</v>
      </c>
      <c r="E126" s="10"/>
      <c r="F126" s="10" t="s">
        <v>941</v>
      </c>
      <c r="G126" s="10" t="s">
        <v>43</v>
      </c>
      <c r="H126" s="11">
        <v>13900</v>
      </c>
      <c r="I126" s="11">
        <v>5003</v>
      </c>
      <c r="J126" s="11">
        <v>2673.18</v>
      </c>
      <c r="K126" s="7"/>
      <c r="L126" s="12">
        <v>5.8999999999999999E-3</v>
      </c>
      <c r="M126" s="12">
        <f>J126/'סכום נכסי הקרן'!$C$42</f>
        <v>7.3510729967638585E-4</v>
      </c>
    </row>
    <row r="127" spans="2:13">
      <c r="B127" s="10" t="s">
        <v>1054</v>
      </c>
      <c r="C127" s="43" t="s">
        <v>1005</v>
      </c>
      <c r="D127" s="10" t="s">
        <v>180</v>
      </c>
      <c r="E127" s="10"/>
      <c r="F127" s="10" t="s">
        <v>941</v>
      </c>
      <c r="G127" s="10" t="s">
        <v>43</v>
      </c>
      <c r="H127" s="11">
        <v>140.83000000000001</v>
      </c>
      <c r="I127" s="11">
        <v>1</v>
      </c>
      <c r="J127" s="11">
        <v>0.54</v>
      </c>
      <c r="K127" s="7"/>
      <c r="L127" s="12">
        <v>0</v>
      </c>
      <c r="M127" s="12">
        <f>J127/'סכום נכסי הקרן'!$C$42</f>
        <v>1.4849652542112705E-7</v>
      </c>
    </row>
    <row r="128" spans="2:13">
      <c r="B128" s="10" t="s">
        <v>1056</v>
      </c>
      <c r="C128" s="43" t="s">
        <v>1055</v>
      </c>
      <c r="D128" s="10" t="s">
        <v>180</v>
      </c>
      <c r="E128" s="10"/>
      <c r="F128" s="10" t="s">
        <v>941</v>
      </c>
      <c r="G128" s="10" t="s">
        <v>43</v>
      </c>
      <c r="H128" s="11">
        <v>1480</v>
      </c>
      <c r="I128" s="11">
        <v>5585</v>
      </c>
      <c r="J128" s="11">
        <v>317.74</v>
      </c>
      <c r="K128" s="7"/>
      <c r="L128" s="12">
        <v>6.9999999999999999E-4</v>
      </c>
      <c r="M128" s="12">
        <f>J128/'סכום נכסי הקרן'!$C$42</f>
        <v>8.7376455532053537E-5</v>
      </c>
    </row>
    <row r="129" spans="2:13">
      <c r="B129" s="10" t="s">
        <v>1057</v>
      </c>
      <c r="C129" s="43" t="s">
        <v>1058</v>
      </c>
      <c r="D129" s="10" t="s">
        <v>198</v>
      </c>
      <c r="E129" s="10"/>
      <c r="F129" s="10" t="s">
        <v>941</v>
      </c>
      <c r="G129" s="10" t="s">
        <v>43</v>
      </c>
      <c r="H129" s="11">
        <v>154462</v>
      </c>
      <c r="I129" s="11">
        <v>11971</v>
      </c>
      <c r="J129" s="11">
        <f>71078.04-100</f>
        <v>70978.039999999994</v>
      </c>
      <c r="K129" s="7"/>
      <c r="L129" s="12">
        <v>0.1575</v>
      </c>
      <c r="M129" s="12">
        <f>J129/'סכום נכסי הקרן'!$C$42</f>
        <v>1.95185042985218E-2</v>
      </c>
    </row>
    <row r="130" spans="2:13">
      <c r="B130" s="10" t="s">
        <v>1059</v>
      </c>
      <c r="C130" s="43" t="s">
        <v>1060</v>
      </c>
      <c r="D130" s="10" t="s">
        <v>198</v>
      </c>
      <c r="E130" s="10"/>
      <c r="F130" s="10" t="s">
        <v>941</v>
      </c>
      <c r="G130" s="10" t="s">
        <v>43</v>
      </c>
      <c r="H130" s="11">
        <v>11382.14</v>
      </c>
      <c r="I130" s="11">
        <v>3046</v>
      </c>
      <c r="J130" s="11">
        <v>1332.71</v>
      </c>
      <c r="K130" s="7"/>
      <c r="L130" s="12">
        <v>3.0000000000000001E-3</v>
      </c>
      <c r="M130" s="12">
        <f>J130/'סכום נכסי הקרן'!$C$42</f>
        <v>3.664866748036856E-4</v>
      </c>
    </row>
    <row r="131" spans="2:13">
      <c r="B131" s="10" t="s">
        <v>1061</v>
      </c>
      <c r="C131" s="43" t="s">
        <v>1062</v>
      </c>
      <c r="D131" s="10" t="s">
        <v>180</v>
      </c>
      <c r="E131" s="10"/>
      <c r="F131" s="10" t="s">
        <v>941</v>
      </c>
      <c r="G131" s="10" t="s">
        <v>43</v>
      </c>
      <c r="H131" s="11">
        <v>583</v>
      </c>
      <c r="I131" s="11">
        <v>9973</v>
      </c>
      <c r="J131" s="11">
        <v>223.5</v>
      </c>
      <c r="K131" s="7"/>
      <c r="L131" s="12">
        <v>5.0000000000000001E-4</v>
      </c>
      <c r="M131" s="12">
        <f>J131/'סכום נכסי הקרן'!$C$42</f>
        <v>6.146106191041092E-5</v>
      </c>
    </row>
    <row r="132" spans="2:13">
      <c r="B132" s="10" t="s">
        <v>1063</v>
      </c>
      <c r="C132" s="43" t="s">
        <v>1064</v>
      </c>
      <c r="D132" s="10" t="s">
        <v>180</v>
      </c>
      <c r="E132" s="10"/>
      <c r="F132" s="10" t="s">
        <v>941</v>
      </c>
      <c r="G132" s="10" t="s">
        <v>43</v>
      </c>
      <c r="H132" s="11">
        <v>29819</v>
      </c>
      <c r="I132" s="11">
        <v>22435</v>
      </c>
      <c r="J132" s="11">
        <f>25715.952</f>
        <v>25715.952000000001</v>
      </c>
      <c r="K132" s="7"/>
      <c r="L132" s="12">
        <v>5.7000000000000002E-2</v>
      </c>
      <c r="M132" s="12">
        <f>J132/'סכום נכסי הקרן'!$C$42</f>
        <v>7.0717213331416354E-3</v>
      </c>
    </row>
    <row r="133" spans="2:13">
      <c r="B133" s="10" t="s">
        <v>1065</v>
      </c>
      <c r="C133" s="43" t="s">
        <v>1066</v>
      </c>
      <c r="D133" s="10" t="s">
        <v>180</v>
      </c>
      <c r="E133" s="10"/>
      <c r="F133" s="10" t="s">
        <v>941</v>
      </c>
      <c r="G133" s="10" t="s">
        <v>43</v>
      </c>
      <c r="H133" s="11">
        <v>27497</v>
      </c>
      <c r="I133" s="11">
        <v>7204</v>
      </c>
      <c r="J133" s="11">
        <v>7614.52</v>
      </c>
      <c r="K133" s="7"/>
      <c r="L133" s="12">
        <v>1.6899999999999998E-2</v>
      </c>
      <c r="M133" s="12">
        <f>J133/'סכום נכסי הקרן'!$C$42</f>
        <v>2.0939440050920005E-3</v>
      </c>
    </row>
    <row r="134" spans="2:13">
      <c r="B134" s="10" t="s">
        <v>1067</v>
      </c>
      <c r="C134" s="43" t="s">
        <v>1068</v>
      </c>
      <c r="D134" s="10" t="s">
        <v>180</v>
      </c>
      <c r="E134" s="10"/>
      <c r="F134" s="10" t="s">
        <v>941</v>
      </c>
      <c r="G134" s="10" t="s">
        <v>43</v>
      </c>
      <c r="H134" s="11">
        <v>38372</v>
      </c>
      <c r="I134" s="11">
        <v>4874</v>
      </c>
      <c r="J134" s="11">
        <v>7189.25</v>
      </c>
      <c r="K134" s="7"/>
      <c r="L134" s="12">
        <v>1.5900000000000001E-2</v>
      </c>
      <c r="M134" s="12">
        <f>J134/'סכום נכסי הקרן'!$C$42</f>
        <v>1.9769974914515512E-3</v>
      </c>
    </row>
    <row r="135" spans="2:13">
      <c r="B135" s="10" t="s">
        <v>1069</v>
      </c>
      <c r="C135" s="43" t="s">
        <v>1070</v>
      </c>
      <c r="D135" s="10" t="s">
        <v>180</v>
      </c>
      <c r="E135" s="10"/>
      <c r="F135" s="10" t="s">
        <v>941</v>
      </c>
      <c r="G135" s="10" t="s">
        <v>43</v>
      </c>
      <c r="H135" s="11">
        <v>1000</v>
      </c>
      <c r="I135" s="11">
        <v>4884</v>
      </c>
      <c r="J135" s="11">
        <v>187.74</v>
      </c>
      <c r="K135" s="7"/>
      <c r="L135" s="12">
        <v>4.0000000000000002E-4</v>
      </c>
      <c r="M135" s="12">
        <f>J135/'סכום נכסי הקרן'!$C$42</f>
        <v>5.1627292004745171E-5</v>
      </c>
    </row>
    <row r="136" spans="2:13">
      <c r="B136" s="10" t="s">
        <v>1072</v>
      </c>
      <c r="C136" s="43" t="s">
        <v>1071</v>
      </c>
      <c r="D136" s="10" t="s">
        <v>180</v>
      </c>
      <c r="E136" s="10"/>
      <c r="F136" s="10" t="s">
        <v>941</v>
      </c>
      <c r="G136" s="10" t="s">
        <v>43</v>
      </c>
      <c r="H136" s="11">
        <v>7000</v>
      </c>
      <c r="I136" s="11">
        <v>5235</v>
      </c>
      <c r="J136" s="11">
        <f>1408-61.1063</f>
        <v>1346.8937000000001</v>
      </c>
      <c r="K136" s="7"/>
      <c r="L136" s="12">
        <v>3.0999999999999999E-3</v>
      </c>
      <c r="M136" s="12">
        <f>J136/'סכום נכסי הקרן'!$C$42</f>
        <v>3.703871010400109E-4</v>
      </c>
    </row>
    <row r="137" spans="2:13">
      <c r="B137" s="10" t="s">
        <v>1073</v>
      </c>
      <c r="C137" s="43" t="s">
        <v>1074</v>
      </c>
      <c r="D137" s="10" t="s">
        <v>180</v>
      </c>
      <c r="E137" s="10"/>
      <c r="F137" s="10" t="s">
        <v>941</v>
      </c>
      <c r="G137" s="10" t="s">
        <v>43</v>
      </c>
      <c r="H137" s="11">
        <v>600</v>
      </c>
      <c r="I137" s="11">
        <v>8552</v>
      </c>
      <c r="J137" s="11">
        <v>197.24</v>
      </c>
      <c r="K137" s="7"/>
      <c r="L137" s="12">
        <v>4.0000000000000002E-4</v>
      </c>
      <c r="M137" s="12">
        <f>J137/'סכום נכסי הקרן'!$C$42</f>
        <v>5.423973087789463E-5</v>
      </c>
    </row>
    <row r="138" spans="2:13">
      <c r="B138" s="10" t="s">
        <v>1075</v>
      </c>
      <c r="C138" s="43" t="s">
        <v>1076</v>
      </c>
      <c r="D138" s="10" t="s">
        <v>180</v>
      </c>
      <c r="E138" s="10"/>
      <c r="F138" s="10" t="s">
        <v>941</v>
      </c>
      <c r="G138" s="10" t="s">
        <v>43</v>
      </c>
      <c r="H138" s="11">
        <v>91732</v>
      </c>
      <c r="I138" s="11">
        <v>5917</v>
      </c>
      <c r="J138" s="11">
        <f>20864.4-249.49</f>
        <v>20614.91</v>
      </c>
      <c r="K138" s="7"/>
      <c r="L138" s="12">
        <v>4.6199999999999998E-2</v>
      </c>
      <c r="M138" s="12">
        <f>J138/'סכום נכסי הקרן'!$C$42</f>
        <v>5.6689676053134188E-3</v>
      </c>
    </row>
    <row r="139" spans="2:13">
      <c r="B139" s="10" t="s">
        <v>1077</v>
      </c>
      <c r="C139" s="43" t="s">
        <v>1078</v>
      </c>
      <c r="D139" s="10" t="s">
        <v>180</v>
      </c>
      <c r="E139" s="10"/>
      <c r="F139" s="10" t="s">
        <v>941</v>
      </c>
      <c r="G139" s="10" t="s">
        <v>43</v>
      </c>
      <c r="H139" s="11">
        <v>2000</v>
      </c>
      <c r="I139" s="11">
        <v>4768</v>
      </c>
      <c r="J139" s="11">
        <v>366.56</v>
      </c>
      <c r="K139" s="7"/>
      <c r="L139" s="12">
        <v>8.0000000000000004E-4</v>
      </c>
      <c r="M139" s="12">
        <f>J139/'סכום נכסי הקרן'!$C$42</f>
        <v>1.0080164140438579E-4</v>
      </c>
    </row>
    <row r="140" spans="2:13">
      <c r="B140" s="10" t="s">
        <v>1079</v>
      </c>
      <c r="C140" s="43" t="s">
        <v>1080</v>
      </c>
      <c r="D140" s="10" t="s">
        <v>180</v>
      </c>
      <c r="E140" s="10"/>
      <c r="F140" s="10" t="s">
        <v>941</v>
      </c>
      <c r="G140" s="10" t="s">
        <v>43</v>
      </c>
      <c r="H140" s="11">
        <v>12589</v>
      </c>
      <c r="I140" s="11">
        <v>20602</v>
      </c>
      <c r="J140" s="11">
        <f>9969.74-150</f>
        <v>9819.74</v>
      </c>
      <c r="K140" s="7"/>
      <c r="L140" s="12">
        <v>2.2100000000000002E-2</v>
      </c>
      <c r="M140" s="12">
        <f>J140/'סכום נכסי הקרן'!$C$42</f>
        <v>2.7003653158127004E-3</v>
      </c>
    </row>
    <row r="141" spans="2:13">
      <c r="B141" s="10" t="s">
        <v>1081</v>
      </c>
      <c r="C141" s="43" t="s">
        <v>1082</v>
      </c>
      <c r="D141" s="10" t="s">
        <v>180</v>
      </c>
      <c r="E141" s="10"/>
      <c r="F141" s="10" t="s">
        <v>941</v>
      </c>
      <c r="G141" s="10" t="s">
        <v>43</v>
      </c>
      <c r="H141" s="11">
        <v>5460</v>
      </c>
      <c r="I141" s="11">
        <v>10088</v>
      </c>
      <c r="J141" s="11">
        <f>2117.29+0.13</f>
        <v>2117.42</v>
      </c>
      <c r="K141" s="7"/>
      <c r="L141" s="12">
        <v>4.7000000000000002E-3</v>
      </c>
      <c r="M141" s="12">
        <f>J141/'סכום נכסי הקרן'!$C$42</f>
        <v>5.8227687566148674E-4</v>
      </c>
    </row>
    <row r="142" spans="2:13">
      <c r="B142" s="10" t="s">
        <v>1083</v>
      </c>
      <c r="C142" s="43" t="s">
        <v>1084</v>
      </c>
      <c r="D142" s="10" t="s">
        <v>180</v>
      </c>
      <c r="E142" s="10"/>
      <c r="F142" s="10" t="s">
        <v>941</v>
      </c>
      <c r="G142" s="10" t="s">
        <v>43</v>
      </c>
      <c r="H142" s="11">
        <v>13</v>
      </c>
      <c r="I142" s="11">
        <v>9319</v>
      </c>
      <c r="J142" s="11">
        <v>4.66</v>
      </c>
      <c r="K142" s="7"/>
      <c r="L142" s="12">
        <v>0</v>
      </c>
      <c r="M142" s="12">
        <f>J142/'סכום נכסי הקרן'!$C$42</f>
        <v>1.2814700156712074E-6</v>
      </c>
    </row>
    <row r="143" spans="2:13">
      <c r="B143" s="10" t="s">
        <v>1085</v>
      </c>
      <c r="C143" s="43" t="s">
        <v>1086</v>
      </c>
      <c r="D143" s="10" t="s">
        <v>198</v>
      </c>
      <c r="E143" s="10"/>
      <c r="F143" s="10" t="s">
        <v>941</v>
      </c>
      <c r="G143" s="10" t="s">
        <v>43</v>
      </c>
      <c r="H143" s="11">
        <v>59778</v>
      </c>
      <c r="I143" s="11">
        <v>3597</v>
      </c>
      <c r="J143" s="11">
        <f>8265.43-100</f>
        <v>8165.43</v>
      </c>
      <c r="K143" s="7"/>
      <c r="L143" s="12">
        <v>1.83E-2</v>
      </c>
      <c r="M143" s="12">
        <f>J143/'סכום נכסי הקרן'!$C$42</f>
        <v>2.2454407103137657E-3</v>
      </c>
    </row>
    <row r="144" spans="2:13">
      <c r="B144" s="10" t="s">
        <v>1088</v>
      </c>
      <c r="C144" s="43" t="s">
        <v>1087</v>
      </c>
      <c r="D144" s="10" t="s">
        <v>180</v>
      </c>
      <c r="E144" s="10"/>
      <c r="F144" s="10" t="s">
        <v>941</v>
      </c>
      <c r="G144" s="10" t="s">
        <v>43</v>
      </c>
      <c r="H144" s="11">
        <v>16336</v>
      </c>
      <c r="I144" s="11">
        <v>4942</v>
      </c>
      <c r="J144" s="11">
        <v>3103.36</v>
      </c>
      <c r="K144" s="7"/>
      <c r="L144" s="12">
        <v>6.8999999999999999E-3</v>
      </c>
      <c r="M144" s="12">
        <f>J144/'סכום נכסי הקרן'!$C$42</f>
        <v>8.5340403172390529E-4</v>
      </c>
    </row>
    <row r="145" spans="2:13">
      <c r="B145" s="10" t="s">
        <v>1090</v>
      </c>
      <c r="C145" s="43" t="s">
        <v>1089</v>
      </c>
      <c r="D145" s="10" t="s">
        <v>180</v>
      </c>
      <c r="E145" s="10"/>
      <c r="F145" s="10" t="s">
        <v>941</v>
      </c>
      <c r="G145" s="10" t="s">
        <v>43</v>
      </c>
      <c r="H145" s="11">
        <v>25316</v>
      </c>
      <c r="I145" s="11">
        <v>5715</v>
      </c>
      <c r="J145" s="11">
        <v>5561.54</v>
      </c>
      <c r="K145" s="7"/>
      <c r="L145" s="12">
        <v>1.23E-2</v>
      </c>
      <c r="M145" s="12">
        <f>J145/'סכום נכסי הקרן'!$C$42</f>
        <v>1.5293877147974351E-3</v>
      </c>
    </row>
    <row r="146" spans="2:13">
      <c r="B146" s="10" t="s">
        <v>1092</v>
      </c>
      <c r="C146" s="43" t="s">
        <v>1091</v>
      </c>
      <c r="D146" s="10" t="s">
        <v>180</v>
      </c>
      <c r="E146" s="10"/>
      <c r="F146" s="10" t="s">
        <v>941</v>
      </c>
      <c r="G146" s="10" t="s">
        <v>43</v>
      </c>
      <c r="H146" s="11">
        <v>6500</v>
      </c>
      <c r="I146" s="11">
        <v>6741</v>
      </c>
      <c r="J146" s="11">
        <v>1684.31</v>
      </c>
      <c r="K146" s="7"/>
      <c r="L146" s="12">
        <v>3.7000000000000002E-3</v>
      </c>
      <c r="M146" s="12">
        <f>J146/'סכום נכסי הקרן'!$C$42</f>
        <v>4.6317441246677499E-4</v>
      </c>
    </row>
    <row r="147" spans="2:13">
      <c r="B147" s="10"/>
      <c r="C147" s="43"/>
      <c r="D147" s="10"/>
      <c r="E147" s="10"/>
      <c r="F147" s="10"/>
      <c r="G147" s="10"/>
      <c r="H147" s="11"/>
      <c r="I147" s="11"/>
      <c r="J147" s="11"/>
      <c r="K147" s="7"/>
      <c r="L147" s="12"/>
      <c r="M147" s="12"/>
    </row>
    <row r="148" spans="2:13">
      <c r="B148" s="39" t="s">
        <v>1093</v>
      </c>
      <c r="C148" s="40"/>
      <c r="D148" s="39"/>
      <c r="E148" s="39"/>
      <c r="F148" s="39"/>
      <c r="G148" s="39"/>
      <c r="H148" s="42">
        <f>SUM(H149:H156)</f>
        <v>7808</v>
      </c>
      <c r="I148" s="42"/>
      <c r="J148" s="42">
        <f t="shared" ref="J148:M148" si="6">SUM(J149:J156)</f>
        <v>2349.8200000000002</v>
      </c>
      <c r="K148" s="42"/>
      <c r="L148" s="51">
        <f t="shared" si="6"/>
        <v>5.4000000000000003E-3</v>
      </c>
      <c r="M148" s="51">
        <f t="shared" si="6"/>
        <v>6.4618538030569023E-4</v>
      </c>
    </row>
    <row r="149" spans="2:13">
      <c r="B149" s="10" t="s">
        <v>1094</v>
      </c>
      <c r="C149" s="43" t="s">
        <v>1095</v>
      </c>
      <c r="D149" s="10" t="s">
        <v>180</v>
      </c>
      <c r="E149" s="10"/>
      <c r="F149" s="10" t="s">
        <v>992</v>
      </c>
      <c r="G149" s="10" t="s">
        <v>43</v>
      </c>
      <c r="H149" s="11">
        <v>184</v>
      </c>
      <c r="I149" s="11">
        <v>4588</v>
      </c>
      <c r="J149" s="11">
        <v>32.450000000000003</v>
      </c>
      <c r="K149" s="7"/>
      <c r="L149" s="12">
        <v>1E-4</v>
      </c>
      <c r="M149" s="12">
        <f>J149/'סכום נכסי הקרן'!$C$42</f>
        <v>8.9235412035473576E-6</v>
      </c>
    </row>
    <row r="150" spans="2:13">
      <c r="B150" s="10" t="s">
        <v>1096</v>
      </c>
      <c r="C150" s="43" t="s">
        <v>1097</v>
      </c>
      <c r="D150" s="10" t="s">
        <v>180</v>
      </c>
      <c r="E150" s="10"/>
      <c r="F150" s="10" t="s">
        <v>992</v>
      </c>
      <c r="G150" s="10" t="s">
        <v>43</v>
      </c>
      <c r="H150" s="11">
        <v>129</v>
      </c>
      <c r="I150" s="11">
        <v>11700</v>
      </c>
      <c r="J150" s="11">
        <v>58.02</v>
      </c>
      <c r="K150" s="7"/>
      <c r="L150" s="12">
        <v>1E-4</v>
      </c>
      <c r="M150" s="12">
        <f>J150/'סכום נכסי הקרן'!$C$42</f>
        <v>1.595512667580332E-5</v>
      </c>
    </row>
    <row r="151" spans="2:13">
      <c r="B151" s="10" t="s">
        <v>1098</v>
      </c>
      <c r="C151" s="43" t="s">
        <v>1099</v>
      </c>
      <c r="D151" s="10" t="s">
        <v>180</v>
      </c>
      <c r="E151" s="10"/>
      <c r="F151" s="10" t="s">
        <v>992</v>
      </c>
      <c r="G151" s="10" t="s">
        <v>43</v>
      </c>
      <c r="H151" s="11">
        <v>3000</v>
      </c>
      <c r="I151" s="11">
        <v>8442</v>
      </c>
      <c r="J151" s="11">
        <v>973.53</v>
      </c>
      <c r="K151" s="7"/>
      <c r="L151" s="12">
        <v>2.2000000000000001E-3</v>
      </c>
      <c r="M151" s="12">
        <f>J151/'סכום נכסי הקרן'!$C$42</f>
        <v>2.6771448591338852E-4</v>
      </c>
    </row>
    <row r="152" spans="2:13">
      <c r="B152" s="10" t="s">
        <v>1100</v>
      </c>
      <c r="C152" s="43" t="s">
        <v>1101</v>
      </c>
      <c r="D152" s="10" t="s">
        <v>180</v>
      </c>
      <c r="E152" s="10"/>
      <c r="F152" s="10" t="s">
        <v>992</v>
      </c>
      <c r="G152" s="10" t="s">
        <v>43</v>
      </c>
      <c r="H152" s="11">
        <v>750</v>
      </c>
      <c r="I152" s="11">
        <v>12233</v>
      </c>
      <c r="J152" s="11">
        <v>352.68</v>
      </c>
      <c r="K152" s="7"/>
      <c r="L152" s="12">
        <v>8.0000000000000004E-4</v>
      </c>
      <c r="M152" s="12">
        <f>J152/'סכום נכסי הקרן'!$C$42</f>
        <v>9.6984730713931642E-5</v>
      </c>
    </row>
    <row r="153" spans="2:13">
      <c r="B153" s="10" t="s">
        <v>1103</v>
      </c>
      <c r="C153" s="43" t="s">
        <v>1102</v>
      </c>
      <c r="D153" s="10" t="s">
        <v>180</v>
      </c>
      <c r="E153" s="10"/>
      <c r="F153" s="10" t="s">
        <v>992</v>
      </c>
      <c r="G153" s="10" t="s">
        <v>43</v>
      </c>
      <c r="H153" s="11">
        <v>76</v>
      </c>
      <c r="I153" s="11">
        <v>10784</v>
      </c>
      <c r="J153" s="11">
        <v>31.5</v>
      </c>
      <c r="K153" s="7"/>
      <c r="L153" s="12">
        <v>1E-4</v>
      </c>
      <c r="M153" s="12">
        <f>J153/'סכום נכסי הקרן'!$C$42</f>
        <v>8.6622973162324107E-6</v>
      </c>
    </row>
    <row r="154" spans="2:13">
      <c r="B154" s="10" t="s">
        <v>1104</v>
      </c>
      <c r="C154" s="43" t="s">
        <v>1105</v>
      </c>
      <c r="D154" s="10" t="s">
        <v>180</v>
      </c>
      <c r="E154" s="10"/>
      <c r="F154" s="10" t="s">
        <v>992</v>
      </c>
      <c r="G154" s="10" t="s">
        <v>43</v>
      </c>
      <c r="H154" s="11">
        <v>1800</v>
      </c>
      <c r="I154" s="11">
        <v>5075</v>
      </c>
      <c r="J154" s="11">
        <v>351.15</v>
      </c>
      <c r="K154" s="7"/>
      <c r="L154" s="12">
        <v>8.0000000000000004E-4</v>
      </c>
      <c r="M154" s="12">
        <f>J154/'סכום נכסי הקרן'!$C$42</f>
        <v>9.6563990558571776E-5</v>
      </c>
    </row>
    <row r="155" spans="2:13">
      <c r="B155" s="10" t="s">
        <v>1106</v>
      </c>
      <c r="C155" s="43" t="s">
        <v>1107</v>
      </c>
      <c r="D155" s="10" t="s">
        <v>180</v>
      </c>
      <c r="E155" s="10"/>
      <c r="F155" s="10" t="s">
        <v>992</v>
      </c>
      <c r="G155" s="10" t="s">
        <v>43</v>
      </c>
      <c r="H155" s="11">
        <v>169</v>
      </c>
      <c r="I155" s="11">
        <v>3640</v>
      </c>
      <c r="J155" s="11">
        <v>23.65</v>
      </c>
      <c r="K155" s="7"/>
      <c r="L155" s="12">
        <v>1E-4</v>
      </c>
      <c r="M155" s="12">
        <f>J155/'סכום נכסי הקרן'!$C$42</f>
        <v>6.5035978263141749E-6</v>
      </c>
    </row>
    <row r="156" spans="2:13">
      <c r="B156" s="10" t="s">
        <v>1108</v>
      </c>
      <c r="C156" s="43" t="s">
        <v>1109</v>
      </c>
      <c r="D156" s="10" t="s">
        <v>180</v>
      </c>
      <c r="E156" s="10"/>
      <c r="F156" s="10" t="s">
        <v>992</v>
      </c>
      <c r="G156" s="10" t="s">
        <v>43</v>
      </c>
      <c r="H156" s="11">
        <v>1700</v>
      </c>
      <c r="I156" s="11">
        <v>8062</v>
      </c>
      <c r="J156" s="11">
        <v>526.84</v>
      </c>
      <c r="K156" s="7"/>
      <c r="L156" s="12">
        <v>1.1999999999999999E-3</v>
      </c>
      <c r="M156" s="12">
        <f>J156/'סכום נכסי הקרן'!$C$42</f>
        <v>1.4487761009790106E-4</v>
      </c>
    </row>
    <row r="157" spans="2:13">
      <c r="B157" s="10"/>
      <c r="C157" s="43"/>
      <c r="D157" s="10"/>
      <c r="E157" s="10"/>
      <c r="F157" s="10"/>
      <c r="G157" s="10"/>
      <c r="H157" s="11"/>
      <c r="I157" s="11"/>
      <c r="J157" s="11"/>
      <c r="K157" s="7"/>
      <c r="L157" s="12"/>
      <c r="M157" s="12"/>
    </row>
    <row r="158" spans="2:13">
      <c r="B158" s="39" t="s">
        <v>994</v>
      </c>
      <c r="C158" s="40"/>
      <c r="D158" s="39"/>
      <c r="E158" s="39"/>
      <c r="F158" s="39"/>
      <c r="G158" s="39"/>
      <c r="H158" s="42">
        <f>H159</f>
        <v>16190</v>
      </c>
      <c r="I158" s="42">
        <f t="shared" ref="I158:L158" si="7">I159</f>
        <v>2175</v>
      </c>
      <c r="J158" s="42">
        <f t="shared" si="7"/>
        <v>1353.6</v>
      </c>
      <c r="K158" s="42"/>
      <c r="L158" s="51">
        <f t="shared" si="7"/>
        <v>3.0000000000000001E-3</v>
      </c>
      <c r="M158" s="51">
        <v>4.0000000000000002E-4</v>
      </c>
    </row>
    <row r="159" spans="2:13">
      <c r="B159" s="10" t="s">
        <v>1110</v>
      </c>
      <c r="C159" s="43" t="s">
        <v>1111</v>
      </c>
      <c r="D159" s="10" t="s">
        <v>180</v>
      </c>
      <c r="E159" s="10"/>
      <c r="F159" s="10" t="s">
        <v>184</v>
      </c>
      <c r="G159" s="10" t="s">
        <v>43</v>
      </c>
      <c r="H159" s="11">
        <v>16190</v>
      </c>
      <c r="I159" s="11">
        <v>2175</v>
      </c>
      <c r="J159" s="11">
        <v>1353.6</v>
      </c>
      <c r="K159" s="7"/>
      <c r="L159" s="12">
        <v>3.0000000000000001E-3</v>
      </c>
      <c r="M159" s="12">
        <f>J159/'סכום נכסי הקרן'!$C$42</f>
        <v>3.7223129038895842E-4</v>
      </c>
    </row>
    <row r="160" spans="2:13">
      <c r="B160" s="10"/>
      <c r="C160" s="43"/>
      <c r="D160" s="10"/>
      <c r="E160" s="10"/>
      <c r="F160" s="10"/>
      <c r="G160" s="10"/>
      <c r="H160" s="11"/>
      <c r="I160" s="11"/>
      <c r="J160" s="11"/>
      <c r="K160" s="7"/>
      <c r="L160" s="12"/>
      <c r="M160" s="12"/>
    </row>
    <row r="161" spans="2:13">
      <c r="B161" s="39" t="s">
        <v>997</v>
      </c>
      <c r="C161" s="40"/>
      <c r="D161" s="39"/>
      <c r="E161" s="39"/>
      <c r="F161" s="39"/>
      <c r="G161" s="39"/>
      <c r="H161" s="42">
        <v>0</v>
      </c>
      <c r="I161" s="7"/>
      <c r="J161" s="42">
        <v>0</v>
      </c>
      <c r="K161" s="7"/>
      <c r="L161" s="41">
        <v>0</v>
      </c>
      <c r="M161" s="41">
        <v>0</v>
      </c>
    </row>
    <row r="164" spans="2:13">
      <c r="B164" s="3" t="s">
        <v>121</v>
      </c>
      <c r="C164" s="5"/>
      <c r="D164" s="3"/>
      <c r="E164" s="3"/>
      <c r="F164" s="3"/>
      <c r="G164" s="3"/>
    </row>
    <row r="168" spans="2:13">
      <c r="B168" s="2" t="s">
        <v>76</v>
      </c>
    </row>
  </sheetData>
  <mergeCells count="2">
    <mergeCell ref="B6:L6"/>
    <mergeCell ref="B9:L9"/>
  </mergeCells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rightToLeft="1" topLeftCell="A7" workbookViewId="0">
      <selection activeCell="F45" sqref="F45"/>
    </sheetView>
  </sheetViews>
  <sheetFormatPr defaultColWidth="9.140625" defaultRowHeight="12.75"/>
  <cols>
    <col min="1" max="1" width="4.28515625" customWidth="1"/>
    <col min="2" max="2" width="46.7109375" customWidth="1"/>
    <col min="3" max="3" width="15.7109375" customWidth="1"/>
    <col min="4" max="4" width="12.7109375" customWidth="1"/>
    <col min="5" max="5" width="13.7109375" customWidth="1"/>
    <col min="6" max="6" width="15.7109375" customWidth="1"/>
    <col min="7" max="7" width="8.7109375" customWidth="1"/>
    <col min="8" max="8" width="10.7109375" customWidth="1"/>
    <col min="9" max="10" width="15.7109375" customWidth="1"/>
    <col min="11" max="11" width="11.7109375" customWidth="1"/>
    <col min="12" max="12" width="13.7109375" customWidth="1"/>
    <col min="13" max="13" width="24.7109375" customWidth="1"/>
    <col min="14" max="14" width="27.7109375" customWidth="1"/>
    <col min="15" max="15" width="20.7109375" customWidth="1"/>
  </cols>
  <sheetData>
    <row r="1" spans="2:15">
      <c r="B1" s="15" t="s">
        <v>1490</v>
      </c>
    </row>
    <row r="2" spans="2:15">
      <c r="B2" s="15" t="s">
        <v>1489</v>
      </c>
    </row>
    <row r="3" spans="2:15">
      <c r="B3" s="15" t="s">
        <v>2</v>
      </c>
    </row>
    <row r="4" spans="2:15">
      <c r="B4" s="15" t="s">
        <v>3</v>
      </c>
    </row>
    <row r="6" spans="2:15">
      <c r="B6" s="113" t="s">
        <v>122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54"/>
      <c r="N6" s="113"/>
      <c r="O6" s="113"/>
    </row>
    <row r="7" spans="2:15">
      <c r="B7" s="49" t="s">
        <v>1112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2:15">
      <c r="B8" s="49" t="s">
        <v>78</v>
      </c>
      <c r="C8" s="49" t="s">
        <v>79</v>
      </c>
      <c r="D8" s="49" t="s">
        <v>124</v>
      </c>
      <c r="E8" s="49" t="s">
        <v>80</v>
      </c>
      <c r="F8" s="49" t="s">
        <v>205</v>
      </c>
      <c r="G8" s="49" t="s">
        <v>81</v>
      </c>
      <c r="H8" s="49" t="s">
        <v>82</v>
      </c>
      <c r="I8" s="49" t="s">
        <v>83</v>
      </c>
      <c r="J8" s="49" t="s">
        <v>127</v>
      </c>
      <c r="K8" s="49" t="s">
        <v>42</v>
      </c>
      <c r="L8" s="49" t="s">
        <v>86</v>
      </c>
      <c r="M8" s="49" t="s">
        <v>128</v>
      </c>
      <c r="N8" s="49" t="s">
        <v>129</v>
      </c>
      <c r="O8" s="49" t="s">
        <v>88</v>
      </c>
    </row>
    <row r="9" spans="2:15">
      <c r="B9" s="113"/>
      <c r="C9" s="113"/>
      <c r="D9" s="113"/>
      <c r="E9" s="113"/>
      <c r="F9" s="113"/>
      <c r="G9" s="113"/>
      <c r="H9" s="113"/>
      <c r="I9" s="113"/>
      <c r="J9" s="113" t="s">
        <v>132</v>
      </c>
      <c r="K9" s="113" t="s">
        <v>133</v>
      </c>
      <c r="L9" s="113" t="s">
        <v>90</v>
      </c>
      <c r="M9" s="54" t="s">
        <v>89</v>
      </c>
      <c r="N9" s="113" t="s">
        <v>89</v>
      </c>
      <c r="O9" s="113" t="s">
        <v>89</v>
      </c>
    </row>
    <row r="10" spans="2:1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>
      <c r="B12" s="8" t="s">
        <v>1113</v>
      </c>
      <c r="C12" s="38"/>
      <c r="D12" s="8"/>
      <c r="E12" s="8"/>
      <c r="F12" s="8"/>
      <c r="G12" s="8"/>
      <c r="H12" s="8"/>
      <c r="I12" s="8"/>
      <c r="J12" s="13">
        <f>J18</f>
        <v>4616603.63</v>
      </c>
      <c r="K12" s="7"/>
      <c r="L12" s="13">
        <f>L18</f>
        <v>106718.72</v>
      </c>
      <c r="M12" s="7"/>
      <c r="N12" s="14">
        <f>N18</f>
        <v>1</v>
      </c>
      <c r="O12" s="14">
        <f>O18</f>
        <v>2.934696132850026E-2</v>
      </c>
    </row>
    <row r="13" spans="2:15">
      <c r="B13" s="8"/>
      <c r="C13" s="38"/>
      <c r="D13" s="8"/>
      <c r="E13" s="8"/>
      <c r="F13" s="8"/>
      <c r="G13" s="8"/>
      <c r="H13" s="8"/>
      <c r="I13" s="8"/>
      <c r="J13" s="13"/>
      <c r="K13" s="7"/>
      <c r="L13" s="13"/>
      <c r="M13" s="7"/>
      <c r="N13" s="14"/>
      <c r="O13" s="14"/>
    </row>
    <row r="14" spans="2:15">
      <c r="B14" s="8" t="s">
        <v>1114</v>
      </c>
      <c r="C14" s="38"/>
      <c r="D14" s="8"/>
      <c r="E14" s="8"/>
      <c r="F14" s="8"/>
      <c r="G14" s="8"/>
      <c r="H14" s="8"/>
      <c r="I14" s="8"/>
      <c r="J14" s="13">
        <v>0</v>
      </c>
      <c r="K14" s="7"/>
      <c r="L14" s="13">
        <v>0</v>
      </c>
      <c r="M14" s="7"/>
      <c r="N14" s="14">
        <v>0</v>
      </c>
      <c r="O14" s="14">
        <v>0</v>
      </c>
    </row>
    <row r="15" spans="2:15">
      <c r="B15" s="8"/>
      <c r="C15" s="38"/>
      <c r="D15" s="8"/>
      <c r="E15" s="8"/>
      <c r="F15" s="8"/>
      <c r="G15" s="8"/>
      <c r="H15" s="8"/>
      <c r="I15" s="8"/>
      <c r="J15" s="13"/>
      <c r="K15" s="7"/>
      <c r="L15" s="13"/>
      <c r="M15" s="7"/>
      <c r="N15" s="14"/>
      <c r="O15" s="14"/>
    </row>
    <row r="16" spans="2:15">
      <c r="B16" s="39" t="s">
        <v>1115</v>
      </c>
      <c r="C16" s="40"/>
      <c r="D16" s="39"/>
      <c r="E16" s="39"/>
      <c r="F16" s="39"/>
      <c r="G16" s="39"/>
      <c r="H16" s="39"/>
      <c r="I16" s="39"/>
      <c r="J16" s="42">
        <v>0</v>
      </c>
      <c r="K16" s="7"/>
      <c r="L16" s="42">
        <v>0</v>
      </c>
      <c r="M16" s="7"/>
      <c r="N16" s="41">
        <v>0</v>
      </c>
      <c r="O16" s="41">
        <v>0</v>
      </c>
    </row>
    <row r="17" spans="2:15">
      <c r="B17" s="39"/>
      <c r="C17" s="40"/>
      <c r="D17" s="39"/>
      <c r="E17" s="39"/>
      <c r="F17" s="39"/>
      <c r="G17" s="39"/>
      <c r="H17" s="39"/>
      <c r="I17" s="39"/>
      <c r="J17" s="42"/>
      <c r="K17" s="7"/>
      <c r="L17" s="42"/>
      <c r="M17" s="7"/>
      <c r="N17" s="41"/>
      <c r="O17" s="41"/>
    </row>
    <row r="18" spans="2:15">
      <c r="B18" s="8" t="s">
        <v>1116</v>
      </c>
      <c r="C18" s="38"/>
      <c r="D18" s="8"/>
      <c r="E18" s="8"/>
      <c r="F18" s="8"/>
      <c r="G18" s="8"/>
      <c r="H18" s="8"/>
      <c r="I18" s="8"/>
      <c r="J18" s="13">
        <f>J20</f>
        <v>4616603.63</v>
      </c>
      <c r="K18" s="7"/>
      <c r="L18" s="13">
        <f>L20</f>
        <v>106718.72</v>
      </c>
      <c r="M18" s="7"/>
      <c r="N18" s="14">
        <f>N20</f>
        <v>1</v>
      </c>
      <c r="O18" s="14">
        <f>O20</f>
        <v>2.934696132850026E-2</v>
      </c>
    </row>
    <row r="19" spans="2:15">
      <c r="B19" s="8"/>
      <c r="C19" s="38"/>
      <c r="D19" s="8"/>
      <c r="E19" s="8"/>
      <c r="F19" s="8"/>
      <c r="G19" s="8"/>
      <c r="H19" s="8"/>
      <c r="I19" s="8"/>
      <c r="J19" s="13"/>
      <c r="K19" s="7"/>
      <c r="L19" s="13"/>
      <c r="M19" s="7"/>
      <c r="N19" s="14"/>
      <c r="O19" s="14"/>
    </row>
    <row r="20" spans="2:15">
      <c r="B20" s="39" t="s">
        <v>1117</v>
      </c>
      <c r="C20" s="40"/>
      <c r="D20" s="39"/>
      <c r="E20" s="39"/>
      <c r="F20" s="39"/>
      <c r="G20" s="39"/>
      <c r="H20" s="39"/>
      <c r="I20" s="39"/>
      <c r="J20" s="42">
        <f>SUM(J21:J32)</f>
        <v>4616603.63</v>
      </c>
      <c r="K20" s="42"/>
      <c r="L20" s="42">
        <f t="shared" ref="L20:O20" si="0">SUM(L21:L32)</f>
        <v>106718.72</v>
      </c>
      <c r="M20" s="42"/>
      <c r="N20" s="51">
        <f t="shared" si="0"/>
        <v>1</v>
      </c>
      <c r="O20" s="14">
        <f t="shared" si="0"/>
        <v>2.934696132850026E-2</v>
      </c>
    </row>
    <row r="21" spans="2:15">
      <c r="B21" s="10" t="s">
        <v>1118</v>
      </c>
      <c r="C21" s="43" t="s">
        <v>1119</v>
      </c>
      <c r="D21" s="10" t="s">
        <v>184</v>
      </c>
      <c r="E21" s="10"/>
      <c r="F21" s="10" t="s">
        <v>1120</v>
      </c>
      <c r="G21" s="10" t="s">
        <v>652</v>
      </c>
      <c r="H21" s="10" t="s">
        <v>1121</v>
      </c>
      <c r="I21" s="10" t="s">
        <v>43</v>
      </c>
      <c r="J21" s="11">
        <v>1840.9</v>
      </c>
      <c r="K21" s="11">
        <v>25239</v>
      </c>
      <c r="L21" s="11">
        <f>1786.02+0.9</f>
        <v>1786.92</v>
      </c>
      <c r="M21" s="7"/>
      <c r="N21" s="12">
        <v>1.6799999999999999E-2</v>
      </c>
      <c r="O21" s="12">
        <f>L21/'סכום נכסי הקרן'!$C$42</f>
        <v>4.9139150223244507E-4</v>
      </c>
    </row>
    <row r="22" spans="2:15">
      <c r="B22" s="10" t="s">
        <v>1122</v>
      </c>
      <c r="C22" s="43" t="s">
        <v>1123</v>
      </c>
      <c r="D22" s="10" t="s">
        <v>184</v>
      </c>
      <c r="E22" s="10"/>
      <c r="F22" s="10" t="s">
        <v>1120</v>
      </c>
      <c r="G22" s="10" t="s">
        <v>652</v>
      </c>
      <c r="H22" s="10" t="s">
        <v>1121</v>
      </c>
      <c r="I22" s="10" t="s">
        <v>43</v>
      </c>
      <c r="J22" s="11">
        <v>20650</v>
      </c>
      <c r="K22" s="11">
        <v>11135</v>
      </c>
      <c r="L22" s="11">
        <f>8838.81+41</f>
        <v>8879.81</v>
      </c>
      <c r="M22" s="7"/>
      <c r="N22" s="12">
        <f>8.3%-0.0001</f>
        <v>8.2900000000000001E-2</v>
      </c>
      <c r="O22" s="12">
        <f>L22/'סכום נכסי הקרן'!$C$42</f>
        <v>2.4418906137032926E-3</v>
      </c>
    </row>
    <row r="23" spans="2:15">
      <c r="B23" s="10" t="s">
        <v>1124</v>
      </c>
      <c r="C23" s="43" t="s">
        <v>1125</v>
      </c>
      <c r="D23" s="10" t="s">
        <v>184</v>
      </c>
      <c r="E23" s="10"/>
      <c r="F23" s="10" t="s">
        <v>1120</v>
      </c>
      <c r="G23" s="10" t="s">
        <v>1126</v>
      </c>
      <c r="H23" s="10" t="s">
        <v>1121</v>
      </c>
      <c r="I23" s="10" t="s">
        <v>43</v>
      </c>
      <c r="J23" s="11">
        <v>37920</v>
      </c>
      <c r="K23" s="11">
        <v>13106</v>
      </c>
      <c r="L23" s="11">
        <v>19103.89</v>
      </c>
      <c r="M23" s="7"/>
      <c r="N23" s="12">
        <v>0.1794</v>
      </c>
      <c r="O23" s="12">
        <f>L23/'סכום נכסי הקרן'!$C$42</f>
        <v>5.2534468278285455E-3</v>
      </c>
    </row>
    <row r="24" spans="2:15">
      <c r="B24" s="10" t="s">
        <v>1127</v>
      </c>
      <c r="C24" s="43" t="s">
        <v>1128</v>
      </c>
      <c r="D24" s="10" t="s">
        <v>184</v>
      </c>
      <c r="E24" s="10"/>
      <c r="F24" s="10" t="s">
        <v>1120</v>
      </c>
      <c r="G24" s="10" t="s">
        <v>1126</v>
      </c>
      <c r="H24" s="10" t="s">
        <v>1121</v>
      </c>
      <c r="I24" s="10" t="s">
        <v>48</v>
      </c>
      <c r="J24" s="11">
        <v>4555</v>
      </c>
      <c r="K24" s="11">
        <v>14333</v>
      </c>
      <c r="L24" s="11">
        <f>2624.6+100</f>
        <v>2724.6</v>
      </c>
      <c r="M24" s="7"/>
      <c r="N24" s="12">
        <v>2.46E-2</v>
      </c>
      <c r="O24" s="12">
        <f>L24/'סכום נכסי הקרן'!$C$42</f>
        <v>7.4924746881926431E-4</v>
      </c>
    </row>
    <row r="25" spans="2:15">
      <c r="B25" s="10" t="s">
        <v>1129</v>
      </c>
      <c r="C25" s="43" t="s">
        <v>1130</v>
      </c>
      <c r="D25" s="10" t="s">
        <v>180</v>
      </c>
      <c r="E25" s="10"/>
      <c r="F25" s="10" t="s">
        <v>1120</v>
      </c>
      <c r="G25" s="10"/>
      <c r="H25" s="10"/>
      <c r="I25" s="10" t="s">
        <v>43</v>
      </c>
      <c r="J25" s="11">
        <v>27398</v>
      </c>
      <c r="K25" s="11">
        <v>632</v>
      </c>
      <c r="L25" s="11">
        <v>665.61</v>
      </c>
      <c r="M25" s="7"/>
      <c r="N25" s="12">
        <v>6.3E-3</v>
      </c>
      <c r="O25" s="12">
        <f>L25/'סכום נכסי הקרן'!$C$42</f>
        <v>1.8303846719547478E-4</v>
      </c>
    </row>
    <row r="26" spans="2:15">
      <c r="B26" s="10" t="s">
        <v>1131</v>
      </c>
      <c r="C26" s="43" t="s">
        <v>1132</v>
      </c>
      <c r="D26" s="10" t="s">
        <v>184</v>
      </c>
      <c r="E26" s="10"/>
      <c r="F26" s="10" t="s">
        <v>1133</v>
      </c>
      <c r="G26" s="10"/>
      <c r="H26" s="10"/>
      <c r="I26" s="10" t="s">
        <v>48</v>
      </c>
      <c r="J26" s="11">
        <v>48000</v>
      </c>
      <c r="K26" s="11">
        <v>2090</v>
      </c>
      <c r="L26" s="11">
        <v>4032.96</v>
      </c>
      <c r="M26" s="7"/>
      <c r="N26" s="12">
        <v>3.7900000000000003E-2</v>
      </c>
      <c r="O26" s="12">
        <f>L26/'סכום נכסי הקרן'!$C$42</f>
        <v>1.1090380503007194E-3</v>
      </c>
    </row>
    <row r="27" spans="2:15">
      <c r="B27" s="10" t="s">
        <v>1134</v>
      </c>
      <c r="C27" s="43" t="s">
        <v>1135</v>
      </c>
      <c r="D27" s="10" t="s">
        <v>1136</v>
      </c>
      <c r="E27" s="10"/>
      <c r="F27" s="10" t="s">
        <v>1133</v>
      </c>
      <c r="G27" s="10"/>
      <c r="H27" s="10"/>
      <c r="I27" s="10" t="s">
        <v>48</v>
      </c>
      <c r="J27" s="11">
        <v>13400</v>
      </c>
      <c r="K27" s="11">
        <v>8867</v>
      </c>
      <c r="L27" s="11">
        <f>4776.59+100</f>
        <v>4876.59</v>
      </c>
      <c r="M27" s="7"/>
      <c r="N27" s="12">
        <v>4.4900000000000002E-2</v>
      </c>
      <c r="O27" s="12">
        <f>L27/'סכום נכסי הקרן'!$C$42</f>
        <v>1.3410308720433592E-3</v>
      </c>
    </row>
    <row r="28" spans="2:15">
      <c r="B28" s="10" t="s">
        <v>1137</v>
      </c>
      <c r="C28" s="43" t="s">
        <v>1138</v>
      </c>
      <c r="D28" s="10" t="s">
        <v>184</v>
      </c>
      <c r="E28" s="10"/>
      <c r="F28" s="10" t="s">
        <v>1133</v>
      </c>
      <c r="G28" s="10"/>
      <c r="H28" s="10"/>
      <c r="I28" s="10" t="s">
        <v>43</v>
      </c>
      <c r="J28" s="11">
        <v>51631.73</v>
      </c>
      <c r="K28" s="11">
        <v>4075</v>
      </c>
      <c r="L28" s="11">
        <v>8087.75</v>
      </c>
      <c r="M28" s="7"/>
      <c r="N28" s="12">
        <v>7.5999999999999998E-2</v>
      </c>
      <c r="O28" s="12">
        <f>L28/'סכום נכסי הקרן'!$C$42</f>
        <v>2.224079210138371E-3</v>
      </c>
    </row>
    <row r="29" spans="2:15">
      <c r="B29" s="10" t="s">
        <v>1139</v>
      </c>
      <c r="C29" s="43" t="s">
        <v>1140</v>
      </c>
      <c r="D29" s="10" t="s">
        <v>184</v>
      </c>
      <c r="E29" s="10"/>
      <c r="F29" s="10" t="s">
        <v>1133</v>
      </c>
      <c r="G29" s="10"/>
      <c r="H29" s="10"/>
      <c r="I29" s="10" t="s">
        <v>43</v>
      </c>
      <c r="J29" s="11">
        <v>15000</v>
      </c>
      <c r="K29" s="11">
        <v>1566.62</v>
      </c>
      <c r="L29" s="11">
        <v>903.31</v>
      </c>
      <c r="M29" s="7"/>
      <c r="N29" s="12">
        <v>8.5000000000000006E-3</v>
      </c>
      <c r="O29" s="12">
        <f>L29/'סכום נכסי הקרן'!$C$42</f>
        <v>2.4840443773733014E-4</v>
      </c>
    </row>
    <row r="30" spans="2:15">
      <c r="B30" s="10" t="s">
        <v>1141</v>
      </c>
      <c r="C30" s="43" t="s">
        <v>1142</v>
      </c>
      <c r="D30" s="10" t="s">
        <v>184</v>
      </c>
      <c r="E30" s="10"/>
      <c r="F30" s="10" t="s">
        <v>1133</v>
      </c>
      <c r="G30" s="10"/>
      <c r="H30" s="10"/>
      <c r="I30" s="10" t="s">
        <v>48</v>
      </c>
      <c r="J30" s="11">
        <v>28050</v>
      </c>
      <c r="K30" s="11">
        <v>15762</v>
      </c>
      <c r="L30" s="11">
        <v>17773.830000000002</v>
      </c>
      <c r="M30" s="7"/>
      <c r="N30" s="12">
        <v>0.16689999999999999</v>
      </c>
      <c r="O30" s="12">
        <f>L30/'סכום נכסי הקרן'!$C$42</f>
        <v>4.8876888859736871E-3</v>
      </c>
    </row>
    <row r="31" spans="2:15">
      <c r="B31" s="10" t="s">
        <v>1143</v>
      </c>
      <c r="C31" s="43" t="s">
        <v>1144</v>
      </c>
      <c r="D31" s="10" t="s">
        <v>520</v>
      </c>
      <c r="E31" s="10"/>
      <c r="F31" s="10" t="s">
        <v>1133</v>
      </c>
      <c r="G31" s="10"/>
      <c r="H31" s="10"/>
      <c r="I31" s="10" t="s">
        <v>48</v>
      </c>
      <c r="J31" s="11">
        <v>1978158</v>
      </c>
      <c r="K31" s="11">
        <v>335.08</v>
      </c>
      <c r="L31" s="11">
        <v>26646.880000000001</v>
      </c>
      <c r="M31" s="7"/>
      <c r="N31" s="12">
        <v>0.25030000000000002</v>
      </c>
      <c r="O31" s="12">
        <f>L31/'סכום נכסי הקרן'!$C$42</f>
        <v>7.3277205431735593E-3</v>
      </c>
    </row>
    <row r="32" spans="2:15">
      <c r="B32" s="10" t="s">
        <v>1145</v>
      </c>
      <c r="C32" s="43" t="s">
        <v>1146</v>
      </c>
      <c r="D32" s="10" t="s">
        <v>520</v>
      </c>
      <c r="E32" s="10"/>
      <c r="F32" s="10" t="s">
        <v>1133</v>
      </c>
      <c r="G32" s="10"/>
      <c r="H32" s="10"/>
      <c r="I32" s="10" t="s">
        <v>45</v>
      </c>
      <c r="J32" s="11">
        <v>2390000</v>
      </c>
      <c r="K32" s="11">
        <v>99.9</v>
      </c>
      <c r="L32" s="11">
        <v>11236.57</v>
      </c>
      <c r="M32" s="7"/>
      <c r="N32" s="12">
        <v>0.1055</v>
      </c>
      <c r="O32" s="12">
        <f>L32/'סכום נכסי הקרן'!$C$42</f>
        <v>3.0899844493542101E-3</v>
      </c>
    </row>
    <row r="35" spans="2:9">
      <c r="B35" s="3" t="s">
        <v>121</v>
      </c>
      <c r="C35" s="5"/>
      <c r="D35" s="3"/>
      <c r="E35" s="3"/>
      <c r="F35" s="3"/>
      <c r="G35" s="3"/>
      <c r="H35" s="3"/>
      <c r="I35" s="3"/>
    </row>
    <row r="39" spans="2:9">
      <c r="B39" s="2" t="s">
        <v>76</v>
      </c>
    </row>
  </sheetData>
  <mergeCells count="4">
    <mergeCell ref="B6:L6"/>
    <mergeCell ref="N6:O6"/>
    <mergeCell ref="B9:L9"/>
    <mergeCell ref="N9:O9"/>
  </mergeCells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>
      <selection activeCell="B6" sqref="B6:L9"/>
    </sheetView>
  </sheetViews>
  <sheetFormatPr defaultColWidth="9.140625" defaultRowHeight="12.75"/>
  <cols>
    <col min="1" max="1" width="3" customWidth="1"/>
    <col min="2" max="2" width="27.7109375" customWidth="1"/>
    <col min="3" max="4" width="12.7109375" customWidth="1"/>
    <col min="5" max="5" width="16.7109375" customWidth="1"/>
    <col min="6" max="6" width="11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7.7109375" customWidth="1"/>
    <col min="12" max="12" width="20.7109375" customWidth="1"/>
  </cols>
  <sheetData>
    <row r="1" spans="2:12">
      <c r="B1" s="15" t="s">
        <v>1490</v>
      </c>
    </row>
    <row r="2" spans="2:12">
      <c r="B2" s="15" t="s">
        <v>1489</v>
      </c>
    </row>
    <row r="3" spans="2:12">
      <c r="B3" s="15" t="s">
        <v>2</v>
      </c>
    </row>
    <row r="4" spans="2:12">
      <c r="B4" s="15" t="s">
        <v>3</v>
      </c>
    </row>
    <row r="6" spans="2:12">
      <c r="B6" s="113" t="s">
        <v>122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2:12">
      <c r="B7" s="49" t="s">
        <v>1147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2:12">
      <c r="B8" s="49" t="s">
        <v>78</v>
      </c>
      <c r="C8" s="49" t="s">
        <v>79</v>
      </c>
      <c r="D8" s="49" t="s">
        <v>124</v>
      </c>
      <c r="E8" s="49" t="s">
        <v>205</v>
      </c>
      <c r="F8" s="49" t="s">
        <v>83</v>
      </c>
      <c r="G8" s="49" t="s">
        <v>127</v>
      </c>
      <c r="H8" s="49" t="s">
        <v>42</v>
      </c>
      <c r="I8" s="49" t="s">
        <v>86</v>
      </c>
      <c r="J8" s="49" t="s">
        <v>128</v>
      </c>
      <c r="K8" s="49" t="s">
        <v>129</v>
      </c>
      <c r="L8" s="49" t="s">
        <v>88</v>
      </c>
    </row>
    <row r="9" spans="2:12">
      <c r="B9" s="113"/>
      <c r="C9" s="113"/>
      <c r="D9" s="113"/>
      <c r="E9" s="113"/>
      <c r="F9" s="113"/>
      <c r="G9" s="113" t="s">
        <v>132</v>
      </c>
      <c r="H9" s="113" t="s">
        <v>133</v>
      </c>
      <c r="I9" s="113" t="s">
        <v>90</v>
      </c>
      <c r="J9" s="113" t="s">
        <v>89</v>
      </c>
      <c r="K9" s="113" t="s">
        <v>89</v>
      </c>
      <c r="L9" s="113" t="s">
        <v>89</v>
      </c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2:12">
      <c r="B11" s="8" t="s">
        <v>1148</v>
      </c>
      <c r="C11" s="38"/>
      <c r="D11" s="8"/>
      <c r="E11" s="8"/>
      <c r="F11" s="8"/>
      <c r="G11" s="13">
        <f>G13</f>
        <v>302852.45999999996</v>
      </c>
      <c r="H11" s="13"/>
      <c r="I11" s="13">
        <f t="shared" ref="I11" si="0">I13</f>
        <v>158.16</v>
      </c>
      <c r="J11" s="7"/>
      <c r="K11" s="14">
        <f>K13</f>
        <v>1</v>
      </c>
      <c r="L11" s="14">
        <f>L13</f>
        <v>4.349298233445454E-5</v>
      </c>
    </row>
    <row r="12" spans="2:12">
      <c r="B12" s="8"/>
      <c r="C12" s="38"/>
      <c r="D12" s="8"/>
      <c r="E12" s="8"/>
      <c r="F12" s="8"/>
      <c r="G12" s="13"/>
      <c r="H12" s="7"/>
      <c r="I12" s="13"/>
      <c r="J12" s="7"/>
      <c r="K12" s="14"/>
      <c r="L12" s="14"/>
    </row>
    <row r="13" spans="2:12">
      <c r="B13" s="8" t="s">
        <v>1149</v>
      </c>
      <c r="C13" s="38"/>
      <c r="D13" s="8"/>
      <c r="E13" s="8"/>
      <c r="F13" s="8"/>
      <c r="G13" s="13">
        <f>G15</f>
        <v>302852.45999999996</v>
      </c>
      <c r="H13" s="7"/>
      <c r="I13" s="13">
        <f>I15</f>
        <v>158.16</v>
      </c>
      <c r="J13" s="7"/>
      <c r="K13" s="14">
        <f>K15</f>
        <v>1</v>
      </c>
      <c r="L13" s="14">
        <f>L15</f>
        <v>4.349298233445454E-5</v>
      </c>
    </row>
    <row r="14" spans="2:12">
      <c r="B14" s="8"/>
      <c r="C14" s="38"/>
      <c r="D14" s="8"/>
      <c r="E14" s="8"/>
      <c r="F14" s="8"/>
      <c r="G14" s="13"/>
      <c r="H14" s="7"/>
      <c r="I14" s="13"/>
      <c r="J14" s="7"/>
      <c r="K14" s="14"/>
      <c r="L14" s="14"/>
    </row>
    <row r="15" spans="2:12">
      <c r="B15" s="39" t="s">
        <v>1149</v>
      </c>
      <c r="C15" s="40"/>
      <c r="D15" s="39"/>
      <c r="E15" s="39"/>
      <c r="F15" s="39"/>
      <c r="G15" s="42">
        <f>SUM(G16:G19)</f>
        <v>302852.45999999996</v>
      </c>
      <c r="H15" s="42"/>
      <c r="I15" s="42">
        <f t="shared" ref="I15:L15" si="1">SUM(I16:I19)</f>
        <v>158.16</v>
      </c>
      <c r="J15" s="42"/>
      <c r="K15" s="51">
        <f t="shared" si="1"/>
        <v>1</v>
      </c>
      <c r="L15" s="51">
        <f t="shared" si="1"/>
        <v>4.349298233445454E-5</v>
      </c>
    </row>
    <row r="16" spans="2:12">
      <c r="B16" s="10" t="s">
        <v>1150</v>
      </c>
      <c r="C16" s="43">
        <v>1135474</v>
      </c>
      <c r="D16" s="10" t="s">
        <v>138</v>
      </c>
      <c r="E16" s="10" t="s">
        <v>694</v>
      </c>
      <c r="F16" s="10" t="s">
        <v>96</v>
      </c>
      <c r="G16" s="11">
        <v>263700</v>
      </c>
      <c r="H16" s="11">
        <v>4.5</v>
      </c>
      <c r="I16" s="11">
        <v>11.87</v>
      </c>
      <c r="J16" s="12">
        <v>8.3999999999999995E-3</v>
      </c>
      <c r="K16" s="12">
        <v>7.4999999999999997E-2</v>
      </c>
      <c r="L16" s="12">
        <f>I16/'סכום נכסי הקרן'!$C$42</f>
        <v>3.2641736236088479E-6</v>
      </c>
    </row>
    <row r="17" spans="2:12">
      <c r="B17" s="10" t="s">
        <v>1151</v>
      </c>
      <c r="C17" s="43">
        <v>6390298</v>
      </c>
      <c r="D17" s="10" t="s">
        <v>138</v>
      </c>
      <c r="E17" s="10" t="s">
        <v>307</v>
      </c>
      <c r="F17" s="10" t="s">
        <v>96</v>
      </c>
      <c r="G17" s="11">
        <v>1</v>
      </c>
      <c r="H17" s="11">
        <v>0.01</v>
      </c>
      <c r="I17" s="11">
        <v>0</v>
      </c>
      <c r="J17" s="12">
        <v>0</v>
      </c>
      <c r="K17" s="12">
        <v>0</v>
      </c>
      <c r="L17" s="12">
        <f>I17/'סכום נכסי הקרן'!$C$42</f>
        <v>0</v>
      </c>
    </row>
    <row r="18" spans="2:12">
      <c r="B18" s="10" t="s">
        <v>1152</v>
      </c>
      <c r="C18" s="43">
        <v>6390306</v>
      </c>
      <c r="D18" s="10" t="s">
        <v>138</v>
      </c>
      <c r="E18" s="10" t="s">
        <v>307</v>
      </c>
      <c r="F18" s="10" t="s">
        <v>96</v>
      </c>
      <c r="G18" s="11">
        <v>19575.73</v>
      </c>
      <c r="H18" s="11">
        <v>366.8</v>
      </c>
      <c r="I18" s="11">
        <v>71.8</v>
      </c>
      <c r="J18" s="12">
        <v>1.1999999999999999E-3</v>
      </c>
      <c r="K18" s="12">
        <v>0.45400000000000001</v>
      </c>
      <c r="L18" s="12">
        <f>I18/'סכום נכסי הקרן'!$C$42</f>
        <v>1.9744538009698003E-5</v>
      </c>
    </row>
    <row r="19" spans="2:12">
      <c r="B19" s="10" t="s">
        <v>1153</v>
      </c>
      <c r="C19" s="43">
        <v>6390314</v>
      </c>
      <c r="D19" s="10" t="s">
        <v>138</v>
      </c>
      <c r="E19" s="10" t="s">
        <v>307</v>
      </c>
      <c r="F19" s="10" t="s">
        <v>96</v>
      </c>
      <c r="G19" s="11">
        <v>19575.73</v>
      </c>
      <c r="H19" s="11">
        <v>380.5</v>
      </c>
      <c r="I19" s="11">
        <v>74.489999999999995</v>
      </c>
      <c r="J19" s="12">
        <v>1.1999999999999999E-3</v>
      </c>
      <c r="K19" s="12">
        <v>0.47099999999999997</v>
      </c>
      <c r="L19" s="12">
        <f>I19/'סכום נכסי הקרן'!$C$42</f>
        <v>2.0484270701147691E-5</v>
      </c>
    </row>
    <row r="20" spans="2:12">
      <c r="B20" s="10"/>
      <c r="C20" s="43"/>
      <c r="D20" s="10"/>
      <c r="E20" s="10"/>
      <c r="F20" s="10"/>
      <c r="G20" s="11"/>
      <c r="H20" s="11"/>
      <c r="I20" s="11"/>
      <c r="J20" s="12"/>
      <c r="K20" s="12"/>
      <c r="L20" s="12"/>
    </row>
    <row r="21" spans="2:12">
      <c r="B21" s="8" t="s">
        <v>1154</v>
      </c>
      <c r="C21" s="38"/>
      <c r="D21" s="8"/>
      <c r="E21" s="8"/>
      <c r="F21" s="8"/>
      <c r="G21" s="13">
        <v>0</v>
      </c>
      <c r="H21" s="7"/>
      <c r="I21" s="13">
        <v>0</v>
      </c>
      <c r="J21" s="7"/>
      <c r="K21" s="14">
        <v>0</v>
      </c>
      <c r="L21" s="14">
        <v>0</v>
      </c>
    </row>
    <row r="22" spans="2:12">
      <c r="B22" s="8"/>
      <c r="C22" s="38"/>
      <c r="D22" s="8"/>
      <c r="E22" s="8"/>
      <c r="F22" s="8"/>
      <c r="G22" s="13"/>
      <c r="H22" s="7"/>
      <c r="I22" s="13"/>
      <c r="J22" s="7"/>
      <c r="K22" s="14"/>
      <c r="L22" s="14"/>
    </row>
    <row r="23" spans="2:12">
      <c r="B23" s="39" t="s">
        <v>1154</v>
      </c>
      <c r="C23" s="40"/>
      <c r="D23" s="39"/>
      <c r="E23" s="39"/>
      <c r="F23" s="39"/>
      <c r="G23" s="42">
        <v>0</v>
      </c>
      <c r="H23" s="7"/>
      <c r="I23" s="42">
        <v>0</v>
      </c>
      <c r="J23" s="7"/>
      <c r="K23" s="41">
        <v>0</v>
      </c>
      <c r="L23" s="41">
        <v>0</v>
      </c>
    </row>
    <row r="26" spans="2:12">
      <c r="B26" s="3" t="s">
        <v>121</v>
      </c>
      <c r="C26" s="5"/>
      <c r="D26" s="3"/>
      <c r="E26" s="3"/>
      <c r="F26" s="3"/>
    </row>
    <row r="30" spans="2:12">
      <c r="B30" s="2" t="s">
        <v>76</v>
      </c>
    </row>
  </sheetData>
  <mergeCells count="2">
    <mergeCell ref="B6:L6"/>
    <mergeCell ref="B9:L9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hn01adi</cp:lastModifiedBy>
  <dcterms:created xsi:type="dcterms:W3CDTF">2017-01-12T08:28:12Z</dcterms:created>
  <dcterms:modified xsi:type="dcterms:W3CDTF">2017-01-19T09:06:37Z</dcterms:modified>
</cp:coreProperties>
</file>